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AIRVOTETPMDUS\FairVote\Interns\Anthony Ramicone\"/>
    </mc:Choice>
  </mc:AlternateContent>
  <bookViews>
    <workbookView xWindow="0" yWindow="0" windowWidth="28800" windowHeight="12435" activeTab="2"/>
  </bookViews>
  <sheets>
    <sheet name="Data" sheetId="1" r:id="rId1"/>
    <sheet name="Bracket" sheetId="2" r:id="rId2"/>
    <sheet name="Methodology" sheetId="4" r:id="rId3"/>
  </sheets>
  <definedNames>
    <definedName name="_xlnm._FilterDatabase" localSheetId="0" hidden="1">Data!$A$1:$J$1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3" i="1" l="1"/>
  <c r="E32" i="1"/>
  <c r="C7" i="1"/>
  <c r="C8" i="1"/>
  <c r="C3" i="1"/>
  <c r="C13" i="1"/>
  <c r="C30" i="1"/>
  <c r="C18" i="1"/>
  <c r="C29" i="1"/>
  <c r="C4" i="1"/>
  <c r="C21" i="1"/>
  <c r="C10" i="1"/>
  <c r="C9" i="1"/>
  <c r="C15" i="1"/>
  <c r="C33" i="1"/>
  <c r="C26" i="1"/>
  <c r="C17" i="1"/>
  <c r="C24" i="1"/>
  <c r="C6" i="1"/>
  <c r="C14" i="1"/>
  <c r="C5" i="1"/>
  <c r="C25" i="1"/>
  <c r="C20" i="1"/>
  <c r="C32" i="1"/>
  <c r="C12" i="1"/>
  <c r="C23" i="1"/>
  <c r="C16" i="1"/>
  <c r="C31" i="1"/>
  <c r="C19" i="1"/>
  <c r="C27" i="1"/>
  <c r="C11" i="1"/>
  <c r="D11" i="1" s="1"/>
  <c r="C2" i="1"/>
  <c r="C22" i="1"/>
  <c r="C28" i="1"/>
  <c r="D16" i="1" l="1"/>
  <c r="D6" i="1"/>
  <c r="D27" i="1"/>
  <c r="D25" i="1"/>
  <c r="D15" i="1"/>
  <c r="D13" i="1"/>
  <c r="D22" i="1"/>
  <c r="D19" i="1"/>
  <c r="D5" i="1"/>
  <c r="D17" i="1"/>
  <c r="D9" i="1"/>
  <c r="D29" i="1"/>
  <c r="D3" i="1"/>
  <c r="D20" i="1"/>
  <c r="D33" i="1"/>
  <c r="D21" i="1"/>
  <c r="D30" i="1"/>
  <c r="D7" i="1"/>
  <c r="D28" i="1"/>
  <c r="D23" i="1"/>
  <c r="D24" i="1"/>
  <c r="D4" i="1"/>
  <c r="D12" i="1"/>
  <c r="D2" i="1"/>
  <c r="D31" i="1"/>
  <c r="D32" i="1"/>
  <c r="D14" i="1"/>
  <c r="D26" i="1"/>
  <c r="D10" i="1"/>
  <c r="D18" i="1"/>
  <c r="D8" i="1"/>
  <c r="E33" i="1" l="1"/>
  <c r="E25" i="1"/>
  <c r="F33" i="1" l="1"/>
  <c r="F13" i="1"/>
  <c r="F6" i="1"/>
  <c r="F25" i="1"/>
  <c r="F17" i="1"/>
  <c r="F20" i="1"/>
  <c r="F27" i="1"/>
  <c r="F4" i="1"/>
  <c r="F12" i="1"/>
  <c r="F3" i="1"/>
  <c r="F8" i="1"/>
  <c r="F9" i="1"/>
  <c r="F11" i="1"/>
  <c r="F21" i="1"/>
  <c r="F5" i="1"/>
  <c r="F2" i="1"/>
  <c r="F26" i="1"/>
  <c r="F28" i="1"/>
  <c r="F18" i="1"/>
  <c r="F16" i="1"/>
  <c r="F19" i="1"/>
  <c r="F30" i="1"/>
  <c r="F7" i="1"/>
  <c r="F10" i="1"/>
  <c r="F22" i="1"/>
  <c r="F24" i="1"/>
  <c r="F15" i="1"/>
  <c r="F14" i="1"/>
  <c r="F23" i="1"/>
  <c r="F32" i="1"/>
  <c r="G12" i="1"/>
  <c r="H7" i="1" l="1"/>
  <c r="H2" i="1"/>
  <c r="J2" i="1" s="1"/>
  <c r="H15" i="1"/>
  <c r="J15" i="1" s="1"/>
  <c r="H10" i="1"/>
  <c r="J10" i="1" s="1"/>
  <c r="H26" i="1"/>
  <c r="J26" i="1" s="1"/>
  <c r="H14" i="1"/>
  <c r="J14" i="1" s="1"/>
  <c r="H23" i="1"/>
  <c r="J23" i="1" s="1"/>
  <c r="H32" i="1"/>
  <c r="J32" i="1" s="1"/>
  <c r="H20" i="1"/>
  <c r="J20" i="1" s="1"/>
  <c r="H29" i="1"/>
  <c r="J29" i="1" s="1"/>
  <c r="H11" i="1"/>
  <c r="J11" i="1" s="1"/>
  <c r="H21" i="1"/>
  <c r="J21" i="1" s="1"/>
  <c r="H5" i="1"/>
  <c r="H13" i="1"/>
  <c r="J13" i="1" s="1"/>
  <c r="H6" i="1"/>
  <c r="J6" i="1" s="1"/>
  <c r="H25" i="1"/>
  <c r="J25" i="1" s="1"/>
  <c r="H17" i="1"/>
  <c r="J17" i="1" s="1"/>
  <c r="H27" i="1"/>
  <c r="J27" i="1" s="1"/>
  <c r="H31" i="1"/>
  <c r="J31" i="1" s="1"/>
  <c r="H22" i="1"/>
  <c r="J22" i="1" s="1"/>
  <c r="H24" i="1"/>
  <c r="J24" i="1" s="1"/>
  <c r="H30" i="1"/>
  <c r="J30" i="1" s="1"/>
  <c r="H12" i="1"/>
  <c r="J12" i="1" s="1"/>
  <c r="H3" i="1"/>
  <c r="J3" i="1" s="1"/>
  <c r="H18" i="1"/>
  <c r="H8" i="1"/>
  <c r="J8" i="1" s="1"/>
  <c r="H16" i="1"/>
  <c r="J16" i="1" s="1"/>
  <c r="H9" i="1"/>
  <c r="J9" i="1" s="1"/>
  <c r="H28" i="1"/>
  <c r="J28" i="1" s="1"/>
  <c r="H4" i="1"/>
  <c r="J4" i="1" s="1"/>
  <c r="H19" i="1"/>
  <c r="J19" i="1" s="1"/>
  <c r="H33" i="1"/>
  <c r="J33" i="1" s="1"/>
  <c r="J7" i="1"/>
  <c r="J18" i="1"/>
  <c r="J5" i="1"/>
</calcChain>
</file>

<file path=xl/sharedStrings.xml><?xml version="1.0" encoding="utf-8"?>
<sst xmlns="http://schemas.openxmlformats.org/spreadsheetml/2006/main" count="150" uniqueCount="95">
  <si>
    <t>Country</t>
  </si>
  <si>
    <t>Group</t>
  </si>
  <si>
    <t>Turnout</t>
  </si>
  <si>
    <t>Costa Rica</t>
  </si>
  <si>
    <t>Italy</t>
  </si>
  <si>
    <t>Uruguay</t>
  </si>
  <si>
    <t>England</t>
  </si>
  <si>
    <t>France</t>
  </si>
  <si>
    <t>Switzerland</t>
  </si>
  <si>
    <t>Ecuador</t>
  </si>
  <si>
    <t>Honduras</t>
  </si>
  <si>
    <t>Argentina</t>
  </si>
  <si>
    <t>Iran</t>
  </si>
  <si>
    <t>Nigeria</t>
  </si>
  <si>
    <t>Bosnia and Herzegovina</t>
  </si>
  <si>
    <t>D</t>
  </si>
  <si>
    <t>E</t>
  </si>
  <si>
    <t>F</t>
  </si>
  <si>
    <t>Democracy Index</t>
  </si>
  <si>
    <t>Russia</t>
  </si>
  <si>
    <t>Algeria</t>
  </si>
  <si>
    <t>Ghana</t>
  </si>
  <si>
    <t>Portugal</t>
  </si>
  <si>
    <t>Belgium</t>
  </si>
  <si>
    <t>United States</t>
  </si>
  <si>
    <t>Korea Republic</t>
  </si>
  <si>
    <t>Germany</t>
  </si>
  <si>
    <t>H</t>
  </si>
  <si>
    <t>G</t>
  </si>
  <si>
    <t>Brazil</t>
  </si>
  <si>
    <t>Mexico</t>
  </si>
  <si>
    <t>Croatia</t>
  </si>
  <si>
    <t>Cameroon</t>
  </si>
  <si>
    <t>Netherlands</t>
  </si>
  <si>
    <t>Chile</t>
  </si>
  <si>
    <t>Australia</t>
  </si>
  <si>
    <t>Spain</t>
  </si>
  <si>
    <t>Colombia</t>
  </si>
  <si>
    <t>Cote D'Ivoire</t>
  </si>
  <si>
    <t>Japan</t>
  </si>
  <si>
    <t>Greece</t>
  </si>
  <si>
    <t>A</t>
  </si>
  <si>
    <t>B</t>
  </si>
  <si>
    <t>C</t>
  </si>
  <si>
    <t>Round of 16</t>
  </si>
  <si>
    <t>Korea</t>
  </si>
  <si>
    <t xml:space="preserve">Uruguay </t>
  </si>
  <si>
    <t>Proportionality (Gallagher Index)</t>
  </si>
  <si>
    <t>% Women in Lower House</t>
  </si>
  <si>
    <t>Final Score</t>
  </si>
  <si>
    <t>Quarter Finals</t>
  </si>
  <si>
    <t>Semi Finals</t>
  </si>
  <si>
    <t>Finals</t>
  </si>
  <si>
    <t>Champion</t>
  </si>
  <si>
    <t xml:space="preserve">Turnout is an average of the turnout of the last two nationwide elections. The turnout is based on VAP (Voting Age Population) as estimated by the UN. All turnout data is from IDEA (International Institute for Democracy and Electoral Assistance). </t>
  </si>
  <si>
    <t xml:space="preserve">If a presidential and parliamentary election took place simultaneously, the higher turnout was used. If they happened in the same year, but not simultaneously, they were treated as two separate elections. </t>
  </si>
  <si>
    <t>Data can be found here: http://www.idea.int/vt/index.cfm</t>
  </si>
  <si>
    <t>Proportionality</t>
  </si>
  <si>
    <t>Proportionality was measured by the Gallagher Index taken from the most recent parliament. Gallagher indices were taken from Professor Gallagher's data on the Trinity College website. When the data set lacked a country that was in the World Cup, an attempt was made to calculate it.</t>
  </si>
  <si>
    <t>All Gallagher indices calculated by hand are denoted by the formula that appears in the formula bar upon highlighting the cell in question.</t>
  </si>
  <si>
    <t>Professor Gallagher's data can be found here: http://www.tcd.ie/Political_Science/staff/michael_gallagher/ElSystems/Docts/ElectionIndices.pdf</t>
  </si>
  <si>
    <t>The Gallagher Index (aka Least Squares Index or LSq) is calculated as follows: LSq = sqrt((Σ(si - vi)^2)/2)</t>
  </si>
  <si>
    <t>Where si is the percentage of seats won by each party and vi is the percentage of votes won by each party</t>
  </si>
  <si>
    <t>When faced with independents or small parties that garnered less than 1% of the vote, we chose to use one of the recommended solutions of summing all of these fringe candidates into one "others" category. More about this can be seen in the link to Professor Gallagher's data.</t>
  </si>
  <si>
    <t>The Gallagher Index ranges from 0 to 100, where 0 is a perfectly proportional legislature and 100 is a perfectly disproportional legislature.</t>
  </si>
  <si>
    <t>Women's Representation</t>
  </si>
  <si>
    <t>The lower house was chosen because lower houses are more frequently directly elected and they also (to generalize) tend to be more important</t>
  </si>
  <si>
    <t>Women's Representation was measured by the percentage of women in the lower house of a country's legislature or the only house if a country has a unicameral legislature.</t>
  </si>
  <si>
    <t>Data can be found here: http://www.ipu.org/wmn-e/classif.htm</t>
  </si>
  <si>
    <t xml:space="preserve">The Economist Intelligence Unit puts out an annual report on how democratic each country in the world is. This report assigns each country a score on a scale from 0 to 10. </t>
  </si>
  <si>
    <t xml:space="preserve">In the Democracy Index column, the number is the country's index from the 2013 report divided by 10, so possible scores range from 0 to 1. </t>
  </si>
  <si>
    <t>This index was used to prevent superficial democracies, which may have high turnout and lots of female MPs, but whose elections are farces, from scoring highly.</t>
  </si>
  <si>
    <t>The full 2013 report from EIU can be viewed on their website, although a free account is required to download it. www.eiu.com</t>
  </si>
  <si>
    <t>Formula</t>
  </si>
  <si>
    <t>The Democracy Index is used as a multiplier because it is the most important factor, due to its ability to distinguish between legitimate and illegitimate democracies.</t>
  </si>
  <si>
    <t>Exceptions to this formula can be found in the scores for Cameroon and Nigeria. Gallagher indices for these countries were unavailable, and manual calculation was impossible due to a lack of information regarding the results in terms of votes for national elections.</t>
  </si>
  <si>
    <t>Tournament Format</t>
  </si>
  <si>
    <t>Countries are in the same groups as they are in the current edition of the FIFA World Cup</t>
  </si>
  <si>
    <t>Each group has 4 countries in it. The two countries with the highest scores in each group advance to the Round of 16. These countries are highlighted in blue.</t>
  </si>
  <si>
    <t>The knockout rounds of the tournament can be viewed in the sheet entitled "Bracket".</t>
  </si>
  <si>
    <t>In each round, the country with the higher score advanced.</t>
  </si>
  <si>
    <t>The same template that is used in the World Cup was used here to determine where qualifying teams would be placed in the bracket for the round of 16 onwards.</t>
  </si>
  <si>
    <t>Note on England</t>
  </si>
  <si>
    <t>All data referring to England was drawn from the United Kingdom as a whole. While the national football team is made up of exclsively English players, the data sets we utilized for this project treat the UK as one entity rather than separating it into four nations.</t>
  </si>
  <si>
    <t>Scaled Turnout</t>
  </si>
  <si>
    <t>Scaled Proportionality</t>
  </si>
  <si>
    <t>Scaled Women's Representation</t>
  </si>
  <si>
    <t>The score was calculated as follows: Democracy Index * (Scaled Turnout + Scaled Proportionality + Scaled Women's Representation) / 3</t>
  </si>
  <si>
    <t>Possible scores can range from 0 to 100, with 100 being perfect in every category</t>
  </si>
  <si>
    <t xml:space="preserve">To make sure that a lack of information was not hindering these two nations, a divisor of 2 was used instead of 3, since they could only receive points in 2 of the 3 main categories. </t>
  </si>
  <si>
    <t>Scaled Columns</t>
  </si>
  <si>
    <t>Next to each of the three aforementioned categories is a column called 'Scaled _____'. Each of the three main categories is scaled so that the values fall between 0 and 100, with the minimum value scaled to a 0 and the maximum value scaled to 100.</t>
  </si>
  <si>
    <t>The formula used to scale is as follows: 100 * (Raw Value - Minimum Raw Value) / (Maximum Raw Value - Minimum Raw Value).</t>
  </si>
  <si>
    <t>More information of feature scaling can be found here: http://en.wikipedia.org/wiki/Feature_scaling</t>
  </si>
  <si>
    <t>By scaling each variable to the same range (0 to 100) we can easily calculate our final score while weighting the categories equally, which is far more difficult when all of the variables were on their own scale.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</si>
</sst>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s>
  <borders count="9">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0" borderId="0" xfId="0" applyFont="1"/>
    <xf numFmtId="164" fontId="0" fillId="0" borderId="0" xfId="1" applyNumberFormat="1" applyFont="1"/>
    <xf numFmtId="164" fontId="2" fillId="0" borderId="0" xfId="1" applyNumberFormat="1" applyFont="1"/>
    <xf numFmtId="0" fontId="0" fillId="0" borderId="0" xfId="0" applyNumberFormat="1"/>
    <xf numFmtId="0" fontId="0" fillId="0" borderId="0" xfId="1" applyNumberFormat="1" applyFont="1"/>
    <xf numFmtId="0" fontId="0" fillId="0" borderId="0" xfId="0"/>
    <xf numFmtId="0" fontId="0" fillId="0" borderId="0" xfId="0" applyFill="1"/>
    <xf numFmtId="0" fontId="2" fillId="0" borderId="0" xfId="1" applyNumberFormat="1" applyFont="1"/>
    <xf numFmtId="164" fontId="0" fillId="0" borderId="0" xfId="1" applyNumberFormat="1" applyFont="1" applyFill="1"/>
    <xf numFmtId="0" fontId="0" fillId="0" borderId="0" xfId="1" applyNumberFormat="1" applyFont="1" applyFill="1"/>
    <xf numFmtId="10" fontId="0" fillId="0" borderId="0" xfId="0" applyNumberFormat="1" applyFill="1"/>
    <xf numFmtId="10" fontId="0" fillId="0" borderId="0" xfId="0" applyNumberFormat="1" applyFont="1" applyFill="1"/>
    <xf numFmtId="165" fontId="0" fillId="0" borderId="0" xfId="0" applyNumberFormat="1" applyFill="1"/>
    <xf numFmtId="0" fontId="0" fillId="0" borderId="1" xfId="0" applyBorder="1"/>
    <xf numFmtId="164" fontId="0" fillId="0" borderId="1" xfId="1" applyNumberFormat="1" applyFont="1" applyBorder="1"/>
    <xf numFmtId="0" fontId="0" fillId="0" borderId="1" xfId="1" applyNumberFormat="1" applyFont="1" applyBorder="1"/>
    <xf numFmtId="0" fontId="2" fillId="0" borderId="1" xfId="0" applyFont="1" applyBorder="1"/>
    <xf numFmtId="164" fontId="2" fillId="0" borderId="1" xfId="1" applyNumberFormat="1" applyFont="1" applyBorder="1"/>
    <xf numFmtId="0" fontId="0" fillId="0" borderId="2" xfId="0" applyBorder="1"/>
    <xf numFmtId="0" fontId="2" fillId="0" borderId="3" xfId="0" applyFont="1" applyBorder="1"/>
    <xf numFmtId="0" fontId="0" fillId="0" borderId="3" xfId="0" applyBorder="1"/>
    <xf numFmtId="0" fontId="2" fillId="0" borderId="4" xfId="0" applyFont="1" applyBorder="1"/>
    <xf numFmtId="0" fontId="0" fillId="0" borderId="5" xfId="0" applyBorder="1"/>
    <xf numFmtId="0" fontId="0" fillId="0" borderId="6" xfId="0" applyBorder="1"/>
    <xf numFmtId="0" fontId="0" fillId="0" borderId="4" xfId="0" applyBorder="1"/>
    <xf numFmtId="164" fontId="0" fillId="0" borderId="6" xfId="1" applyNumberFormat="1" applyFont="1" applyBorder="1"/>
    <xf numFmtId="164" fontId="0" fillId="0" borderId="7" xfId="1" applyNumberFormat="1" applyFont="1" applyBorder="1"/>
    <xf numFmtId="164" fontId="0" fillId="0" borderId="5" xfId="1" applyNumberFormat="1" applyFont="1" applyBorder="1"/>
    <xf numFmtId="164" fontId="0" fillId="0" borderId="4" xfId="1" applyNumberFormat="1" applyFont="1" applyBorder="1"/>
    <xf numFmtId="0" fontId="2" fillId="0" borderId="4" xfId="1" applyNumberFormat="1" applyFont="1" applyBorder="1"/>
    <xf numFmtId="0" fontId="0" fillId="0" borderId="7" xfId="1" applyNumberFormat="1" applyFont="1" applyBorder="1"/>
    <xf numFmtId="0" fontId="0" fillId="0" borderId="5" xfId="1" applyNumberFormat="1" applyFont="1" applyBorder="1"/>
    <xf numFmtId="0" fontId="0" fillId="0" borderId="6" xfId="1" applyNumberFormat="1" applyFont="1" applyBorder="1"/>
    <xf numFmtId="0" fontId="0" fillId="0" borderId="3" xfId="1" applyNumberFormat="1" applyFont="1" applyBorder="1"/>
    <xf numFmtId="0" fontId="0" fillId="0" borderId="8" xfId="0" applyBorder="1"/>
    <xf numFmtId="0" fontId="2" fillId="0" borderId="0" xfId="0" applyFont="1" applyFill="1"/>
    <xf numFmtId="0" fontId="0" fillId="2" borderId="0" xfId="0" applyFill="1"/>
    <xf numFmtId="165" fontId="2" fillId="0" borderId="0" xfId="0" applyNumberFormat="1" applyFont="1" applyFill="1"/>
    <xf numFmtId="0" fontId="0" fillId="3" borderId="0" xfId="0" applyFill="1"/>
    <xf numFmtId="2" fontId="2" fillId="0" borderId="0" xfId="0" applyNumberFormat="1" applyFont="1" applyFill="1"/>
    <xf numFmtId="0" fontId="0" fillId="0" borderId="1" xfId="0" applyFont="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workbookViewId="0">
      <selection activeCell="D1" sqref="D1"/>
    </sheetView>
  </sheetViews>
  <sheetFormatPr defaultRowHeight="15" x14ac:dyDescent="0.25"/>
  <cols>
    <col min="1" max="1" width="22.42578125" bestFit="1" customWidth="1"/>
    <col min="2" max="2" width="16.5703125" customWidth="1"/>
    <col min="3" max="3" width="12.28515625" style="2" customWidth="1"/>
    <col min="4" max="4" width="17.28515625" style="5" customWidth="1"/>
    <col min="5" max="5" width="33.28515625" bestFit="1" customWidth="1"/>
    <col min="6" max="6" width="31" style="6" customWidth="1"/>
    <col min="7" max="7" width="26.85546875" style="2" bestFit="1" customWidth="1"/>
    <col min="8" max="8" width="32.85546875" style="5" bestFit="1" customWidth="1"/>
    <col min="9" max="9" width="18.5703125" bestFit="1" customWidth="1"/>
    <col min="10" max="10" width="12.85546875" style="36" bestFit="1" customWidth="1"/>
  </cols>
  <sheetData>
    <row r="1" spans="1:10" s="6" customFormat="1" x14ac:dyDescent="0.25">
      <c r="A1" s="1" t="s">
        <v>0</v>
      </c>
      <c r="B1" s="1" t="s">
        <v>1</v>
      </c>
      <c r="C1" s="3" t="s">
        <v>2</v>
      </c>
      <c r="D1" s="8" t="s">
        <v>84</v>
      </c>
      <c r="E1" s="1" t="s">
        <v>47</v>
      </c>
      <c r="F1" s="1" t="s">
        <v>85</v>
      </c>
      <c r="G1" s="3" t="s">
        <v>48</v>
      </c>
      <c r="H1" s="8" t="s">
        <v>86</v>
      </c>
      <c r="I1" s="1" t="s">
        <v>18</v>
      </c>
      <c r="J1" s="36" t="s">
        <v>49</v>
      </c>
    </row>
    <row r="2" spans="1:10" s="1" customFormat="1" x14ac:dyDescent="0.25">
      <c r="A2" s="39" t="s">
        <v>35</v>
      </c>
      <c r="B2" s="12" t="s">
        <v>42</v>
      </c>
      <c r="C2" s="11">
        <f>(0.7967+0.8102)/2</f>
        <v>0.80345</v>
      </c>
      <c r="D2" s="13">
        <f>100*(C2-MIN(C:C))/(MAX(C:C)-MIN(C:C))</f>
        <v>75.135639199728729</v>
      </c>
      <c r="E2" s="13">
        <v>9.5399999999999991</v>
      </c>
      <c r="F2" s="13">
        <f>100*(E2-MAX(E:E))/(MIN(E:E)-MAX(E:E))</f>
        <v>57.985257985257981</v>
      </c>
      <c r="G2" s="11">
        <v>0.26</v>
      </c>
      <c r="H2" s="13">
        <f>100*(G2-MIN(G:G))/(MAX(G:G)-MIN(G:G))</f>
        <v>59.480519480519483</v>
      </c>
      <c r="I2" s="7">
        <v>0.91300000000000003</v>
      </c>
      <c r="J2" s="38">
        <f>SUM(D2,F2,H2)*I2/3</f>
        <v>58.615031138535727</v>
      </c>
    </row>
    <row r="3" spans="1:10" s="7" customFormat="1" x14ac:dyDescent="0.25">
      <c r="A3" s="37" t="s">
        <v>8</v>
      </c>
      <c r="B3" s="7" t="s">
        <v>16</v>
      </c>
      <c r="C3" s="9">
        <f>(0.4004+0.3979)/2</f>
        <v>0.39915</v>
      </c>
      <c r="D3" s="13">
        <f>100*(C3-MIN(C:C))/(MAX(C:C)-MIN(C:C))</f>
        <v>6.5869786368260437</v>
      </c>
      <c r="E3" s="13">
        <v>3.76</v>
      </c>
      <c r="F3" s="13">
        <f>100*(E3-MAX(E:E))/(MIN(E:E)-MAX(E:E))</f>
        <v>86.38820638820637</v>
      </c>
      <c r="G3" s="9">
        <v>0.31</v>
      </c>
      <c r="H3" s="13">
        <f>100*(G3-MIN(G:G))/(MAX(G:G)-MIN(G:G))</f>
        <v>72.467532467532465</v>
      </c>
      <c r="I3" s="7">
        <v>0.90900000000000003</v>
      </c>
      <c r="J3" s="38">
        <f>SUM(D3,F3,H3)*I3/3</f>
        <v>50.129143400247166</v>
      </c>
    </row>
    <row r="4" spans="1:10" s="7" customFormat="1" x14ac:dyDescent="0.25">
      <c r="A4" s="37" t="s">
        <v>33</v>
      </c>
      <c r="B4" s="12" t="s">
        <v>42</v>
      </c>
      <c r="C4" s="11">
        <f>(0.7102+0.7113)/2</f>
        <v>0.71074999999999999</v>
      </c>
      <c r="D4" s="13">
        <f>100*(C4-MIN(C:C))/(MAX(C:C)-MIN(C:C))</f>
        <v>59.418446931163118</v>
      </c>
      <c r="E4" s="13">
        <v>0.99</v>
      </c>
      <c r="F4" s="13">
        <f>100*(E4-MAX(E:E))/(MIN(E:E)-MAX(E:E))</f>
        <v>100</v>
      </c>
      <c r="G4" s="11">
        <v>0.38700000000000001</v>
      </c>
      <c r="H4" s="13">
        <f>100*(G4-MIN(G:G))/(MAX(G:G)-MIN(G:G))</f>
        <v>92.467532467532465</v>
      </c>
      <c r="I4" s="7">
        <v>0.88400000000000001</v>
      </c>
      <c r="J4" s="40">
        <f>SUM(D4,F4,H4)*I4/3</f>
        <v>74.222401929482302</v>
      </c>
    </row>
    <row r="5" spans="1:10" s="7" customFormat="1" x14ac:dyDescent="0.25">
      <c r="A5" s="7" t="s">
        <v>6</v>
      </c>
      <c r="B5" s="7" t="s">
        <v>15</v>
      </c>
      <c r="C5" s="9">
        <f>(0.6106+0.5832)/2</f>
        <v>0.59689999999999999</v>
      </c>
      <c r="D5" s="13">
        <f>100*(C5-MIN(C:C))/(MAX(C:C)-MIN(C:C))</f>
        <v>40.115293319769414</v>
      </c>
      <c r="E5" s="13">
        <v>15.1</v>
      </c>
      <c r="F5" s="13">
        <f>100*(E5-MAX(E:E))/(MIN(E:E)-MAX(E:E))</f>
        <v>30.663390663390661</v>
      </c>
      <c r="G5" s="9">
        <v>0.22600000000000001</v>
      </c>
      <c r="H5" s="13">
        <f>100*(G5-MIN(G:G))/(MAX(G:G)-MIN(G:G))</f>
        <v>50.649350649350652</v>
      </c>
      <c r="I5" s="7">
        <v>0.83099999999999996</v>
      </c>
      <c r="J5" s="38">
        <f>SUM(D5,F5,H5)*I5/3</f>
        <v>33.63556559320547</v>
      </c>
    </row>
    <row r="6" spans="1:10" s="7" customFormat="1" x14ac:dyDescent="0.25">
      <c r="A6" s="37" t="s">
        <v>26</v>
      </c>
      <c r="B6" s="11" t="s">
        <v>28</v>
      </c>
      <c r="C6" s="11">
        <f>(0.6604+0.6461)/2</f>
        <v>0.65325</v>
      </c>
      <c r="D6" s="13">
        <f>100*(C6-MIN(C:C))/(MAX(C:C)-MIN(C:C))</f>
        <v>49.669379450661246</v>
      </c>
      <c r="E6" s="13">
        <v>7.83</v>
      </c>
      <c r="F6" s="13">
        <f>100*(E6-MAX(E:E))/(MIN(E:E)-MAX(E:E))</f>
        <v>66.388206388206385</v>
      </c>
      <c r="G6" s="11">
        <v>0.36499999999999999</v>
      </c>
      <c r="H6" s="13">
        <f>100*(G6-MIN(G:G))/(MAX(G:G)-MIN(G:G))</f>
        <v>86.753246753246742</v>
      </c>
      <c r="I6" s="10">
        <v>0.83099999999999996</v>
      </c>
      <c r="J6" s="38">
        <f>SUM(D6,F6,H6)*I6/3</f>
        <v>56.17860062801568</v>
      </c>
    </row>
    <row r="7" spans="1:10" s="7" customFormat="1" x14ac:dyDescent="0.25">
      <c r="A7" s="37" t="s">
        <v>5</v>
      </c>
      <c r="B7" s="7" t="s">
        <v>15</v>
      </c>
      <c r="C7" s="9">
        <f>(0.9688+0.9314)/2</f>
        <v>0.95009999999999994</v>
      </c>
      <c r="D7" s="13">
        <f>100*(C7-MIN(C:C))/(MAX(C:C)-MIN(C:C))</f>
        <v>100</v>
      </c>
      <c r="E7" s="13">
        <v>1.1000000000000001</v>
      </c>
      <c r="F7" s="13">
        <f>100*(E7-MAX(E:E))/(MIN(E:E)-MAX(E:E))</f>
        <v>99.459459459459438</v>
      </c>
      <c r="G7" s="9">
        <v>0.13100000000000001</v>
      </c>
      <c r="H7" s="13">
        <f>100*(G7-MIN(G:G))/(MAX(G:G)-MIN(G:G))</f>
        <v>25.974025974025974</v>
      </c>
      <c r="I7" s="7">
        <v>0.81699999999999995</v>
      </c>
      <c r="J7" s="38">
        <f>SUM(D7,F7,H7)*I7/3</f>
        <v>61.393052533052519</v>
      </c>
    </row>
    <row r="8" spans="1:10" s="7" customFormat="1" x14ac:dyDescent="0.25">
      <c r="A8" s="7" t="s">
        <v>24</v>
      </c>
      <c r="B8" s="11" t="s">
        <v>28</v>
      </c>
      <c r="C8" s="11">
        <f>(0.5462+0.3846)/2</f>
        <v>0.46540000000000004</v>
      </c>
      <c r="D8" s="13">
        <f>100*(C8-MIN(C:C))/(MAX(C:C)-MIN(C:C))</f>
        <v>17.819599864360811</v>
      </c>
      <c r="E8" s="13">
        <v>4.79</v>
      </c>
      <c r="F8" s="13">
        <f>100*(E8-MAX(E:E))/(MIN(E:E)-MAX(E:E))</f>
        <v>81.326781326781315</v>
      </c>
      <c r="G8" s="11">
        <v>0.183</v>
      </c>
      <c r="H8" s="13">
        <f>100*(G8-MIN(G:G))/(MAX(G:G)-MIN(G:G))</f>
        <v>39.480519480519476</v>
      </c>
      <c r="I8" s="10">
        <v>0.81100000000000005</v>
      </c>
      <c r="J8" s="38">
        <f>SUM(D8,F8,H8)*I8/3</f>
        <v>37.475472148239184</v>
      </c>
    </row>
    <row r="9" spans="1:10" s="7" customFormat="1" x14ac:dyDescent="0.25">
      <c r="A9" s="7" t="s">
        <v>39</v>
      </c>
      <c r="B9" s="12" t="s">
        <v>43</v>
      </c>
      <c r="C9" s="11">
        <f>(0.5967+0.6934)/2</f>
        <v>0.64505000000000001</v>
      </c>
      <c r="D9" s="13">
        <f>100*(C9-MIN(C:C))/(MAX(C:C)-MIN(C:C))</f>
        <v>48.27907765344186</v>
      </c>
      <c r="E9" s="13">
        <v>19.96</v>
      </c>
      <c r="F9" s="13">
        <f>100*(E9-MAX(E:E))/(MIN(E:E)-MAX(E:E))</f>
        <v>6.7813267813267757</v>
      </c>
      <c r="G9" s="11">
        <v>8.1000000000000003E-2</v>
      </c>
      <c r="H9" s="13">
        <f>100*(G9-MIN(G:G))/(MAX(G:G)-MIN(G:G))</f>
        <v>12.987012987012987</v>
      </c>
      <c r="I9" s="7">
        <v>0.80800000000000005</v>
      </c>
      <c r="J9" s="38">
        <f>SUM(D9,F9,H9)*I9/3</f>
        <v>18.327437758933183</v>
      </c>
    </row>
    <row r="10" spans="1:10" s="7" customFormat="1" x14ac:dyDescent="0.25">
      <c r="A10" s="39" t="s">
        <v>25</v>
      </c>
      <c r="B10" s="11" t="s">
        <v>27</v>
      </c>
      <c r="C10" s="11">
        <f>(0.5706+0.8035)/2</f>
        <v>0.68704999999999994</v>
      </c>
      <c r="D10" s="13">
        <f>100*(C10-MIN(C:C))/(MAX(C:C)-MIN(C:C))</f>
        <v>55.400135639199725</v>
      </c>
      <c r="E10" s="13">
        <v>7.15</v>
      </c>
      <c r="F10" s="13">
        <f>100*(E10-MAX(E:E))/(MIN(E:E)-MAX(E:E))</f>
        <v>69.729729729729726</v>
      </c>
      <c r="G10" s="11">
        <v>0.157</v>
      </c>
      <c r="H10" s="13">
        <f>100*(G10-MIN(G:G))/(MAX(G:G)-MIN(G:G))</f>
        <v>32.727272727272727</v>
      </c>
      <c r="I10" s="10">
        <v>0.80600000000000005</v>
      </c>
      <c r="J10" s="38">
        <f>SUM(D10,F10,H10)*I10/3</f>
        <v>42.410951101846315</v>
      </c>
    </row>
    <row r="11" spans="1:10" s="7" customFormat="1" x14ac:dyDescent="0.25">
      <c r="A11" s="37" t="s">
        <v>23</v>
      </c>
      <c r="B11" s="11" t="s">
        <v>27</v>
      </c>
      <c r="C11" s="11">
        <f>(0.9326+0.86)/2</f>
        <v>0.89629999999999999</v>
      </c>
      <c r="D11" s="13">
        <f>100*(C11-MIN(C:C))/(MAX(C:C)-MIN(C:C))</f>
        <v>90.878263818243497</v>
      </c>
      <c r="E11" s="13">
        <v>3.77</v>
      </c>
      <c r="F11" s="13">
        <f>100*(E11-MAX(E:E))/(MIN(E:E)-MAX(E:E))</f>
        <v>86.339066339066335</v>
      </c>
      <c r="G11" s="11">
        <v>0.41299999999999998</v>
      </c>
      <c r="H11" s="13">
        <f>100*(G11-MIN(G:G))/(MAX(G:G)-MIN(G:G))</f>
        <v>99.220779220779221</v>
      </c>
      <c r="I11" s="10">
        <v>0.80500000000000005</v>
      </c>
      <c r="J11" s="40">
        <f>SUM(D11,F11,H11)*I11/3</f>
        <v>74.177559349787231</v>
      </c>
    </row>
    <row r="12" spans="1:10" s="7" customFormat="1" x14ac:dyDescent="0.25">
      <c r="A12" s="39" t="s">
        <v>3</v>
      </c>
      <c r="B12" s="7" t="s">
        <v>15</v>
      </c>
      <c r="C12" s="9">
        <f>(0.6444+0.6227)/2</f>
        <v>0.63355000000000006</v>
      </c>
      <c r="D12" s="13">
        <f>100*(C12-MIN(C:C))/(MAX(C:C)-MIN(C:C))</f>
        <v>46.329264157341491</v>
      </c>
      <c r="E12" s="13">
        <v>4.96</v>
      </c>
      <c r="F12" s="13">
        <f>100*(E12-MAX(E:E))/(MIN(E:E)-MAX(E:E))</f>
        <v>80.491400491400483</v>
      </c>
      <c r="G12" s="9">
        <f>0.333</f>
        <v>0.33300000000000002</v>
      </c>
      <c r="H12" s="13">
        <f>100*(G12-MIN(G:G))/(MAX(G:G)-MIN(G:G))</f>
        <v>78.441558441558442</v>
      </c>
      <c r="I12" s="7">
        <v>0.80300000000000005</v>
      </c>
      <c r="J12" s="38">
        <f>SUM(D12,F12,H12)*I12/3</f>
        <v>54.941855047170414</v>
      </c>
    </row>
    <row r="13" spans="1:10" s="7" customFormat="1" x14ac:dyDescent="0.25">
      <c r="A13" s="7" t="s">
        <v>36</v>
      </c>
      <c r="B13" s="12" t="s">
        <v>42</v>
      </c>
      <c r="C13" s="11">
        <f>(0.6326+0.6994)/2</f>
        <v>0.66600000000000004</v>
      </c>
      <c r="D13" s="13">
        <f>100*(C13-MIN(C:C))/(MAX(C:C)-MIN(C:C))</f>
        <v>51.831129196337756</v>
      </c>
      <c r="E13" s="13">
        <v>6.93</v>
      </c>
      <c r="F13" s="13">
        <f>100*(E13-MAX(E:E))/(MIN(E:E)-MAX(E:E))</f>
        <v>70.810810810810807</v>
      </c>
      <c r="G13" s="11">
        <v>0.39700000000000002</v>
      </c>
      <c r="H13" s="13">
        <f>100*(G13-MIN(G:G))/(MAX(G:G)-MIN(G:G))</f>
        <v>95.064935064935071</v>
      </c>
      <c r="I13" s="7">
        <v>0.80200000000000005</v>
      </c>
      <c r="J13" s="38">
        <f>SUM(D13,F13,H13)*I13/3</f>
        <v>58.200304602603694</v>
      </c>
    </row>
    <row r="14" spans="1:10" s="7" customFormat="1" x14ac:dyDescent="0.25">
      <c r="A14" s="7" t="s">
        <v>7</v>
      </c>
      <c r="B14" s="7" t="s">
        <v>16</v>
      </c>
      <c r="C14" s="9">
        <f>(0.4608+0.7118)/2</f>
        <v>0.58630000000000004</v>
      </c>
      <c r="D14" s="13">
        <f>100*(C14-MIN(C:C))/(MAX(C:C)-MIN(C:C))</f>
        <v>38.318073923363869</v>
      </c>
      <c r="E14" s="13">
        <v>17.66</v>
      </c>
      <c r="F14" s="13">
        <f>100*(E14-MAX(E:E))/(MIN(E:E)-MAX(E:E))</f>
        <v>18.083538083538084</v>
      </c>
      <c r="G14" s="9">
        <v>0.26200000000000001</v>
      </c>
      <c r="H14" s="13">
        <f>100*(G14-MIN(G:G))/(MAX(G:G)-MIN(G:G))</f>
        <v>60</v>
      </c>
      <c r="I14" s="7">
        <v>0.79200000000000004</v>
      </c>
      <c r="J14" s="38">
        <f>SUM(D14,F14,H14)*I14/3</f>
        <v>30.730025569822118</v>
      </c>
    </row>
    <row r="15" spans="1:10" s="7" customFormat="1" x14ac:dyDescent="0.25">
      <c r="A15" s="7" t="s">
        <v>4</v>
      </c>
      <c r="B15" s="7" t="s">
        <v>15</v>
      </c>
      <c r="C15" s="9">
        <f>(0.6833+0.7913)/2</f>
        <v>0.73730000000000007</v>
      </c>
      <c r="D15" s="13">
        <f>100*(C15-MIN(C:C))/(MAX(C:C)-MIN(C:C))</f>
        <v>63.919972872160074</v>
      </c>
      <c r="E15" s="13">
        <v>17.34</v>
      </c>
      <c r="F15" s="13">
        <f>100*(E15-MAX(E:E))/(MIN(E:E)-MAX(E:E))</f>
        <v>19.656019656019655</v>
      </c>
      <c r="G15" s="9">
        <v>0.314</v>
      </c>
      <c r="H15" s="13">
        <f>100*(G15-MIN(G:G))/(MAX(G:G)-MIN(G:G))</f>
        <v>73.506493506493513</v>
      </c>
      <c r="I15" s="7">
        <v>0.78500000000000003</v>
      </c>
      <c r="J15" s="38">
        <f>SUM(D15,F15,H15)*I15/3</f>
        <v>41.10325051240617</v>
      </c>
    </row>
    <row r="16" spans="1:10" s="7" customFormat="1" x14ac:dyDescent="0.25">
      <c r="A16" s="7" t="s">
        <v>34</v>
      </c>
      <c r="B16" s="12" t="s">
        <v>42</v>
      </c>
      <c r="C16" s="11">
        <f>(0.5366+0.5914)/2</f>
        <v>0.56400000000000006</v>
      </c>
      <c r="D16" s="13">
        <f>100*(C16-MIN(C:C))/(MAX(C:C)-MIN(C:C))</f>
        <v>34.537131230925752</v>
      </c>
      <c r="E16" s="13">
        <v>6.87</v>
      </c>
      <c r="F16" s="13">
        <f>100*(E16-MAX(E:E))/(MIN(E:E)-MAX(E:E))</f>
        <v>71.105651105651106</v>
      </c>
      <c r="G16" s="11">
        <v>0.158</v>
      </c>
      <c r="H16" s="13">
        <f>100*(G16-MIN(G:G))/(MAX(G:G)-MIN(G:G))</f>
        <v>32.987012987012982</v>
      </c>
      <c r="I16" s="7">
        <v>0.78</v>
      </c>
      <c r="J16" s="38">
        <f>SUM(D16,F16,H16)*I16/3</f>
        <v>36.043746784133354</v>
      </c>
    </row>
    <row r="17" spans="1:10" s="7" customFormat="1" x14ac:dyDescent="0.25">
      <c r="A17" s="37" t="s">
        <v>40</v>
      </c>
      <c r="B17" s="12" t="s">
        <v>43</v>
      </c>
      <c r="C17" s="11">
        <f>(0.6936+0.7924)/2</f>
        <v>0.74299999999999999</v>
      </c>
      <c r="D17" s="13">
        <f>100*(C17-MIN(C:C))/(MAX(C:C)-MIN(C:C))</f>
        <v>64.8864021702272</v>
      </c>
      <c r="E17" s="13">
        <v>9.9600000000000009</v>
      </c>
      <c r="F17" s="13">
        <f>100*(E17-MAX(E:E))/(MIN(E:E)-MAX(E:E))</f>
        <v>55.921375921375919</v>
      </c>
      <c r="G17" s="11">
        <v>0.21</v>
      </c>
      <c r="H17" s="13">
        <f>100*(G17-MIN(G:G))/(MAX(G:G)-MIN(G:G))</f>
        <v>46.493506493506487</v>
      </c>
      <c r="I17" s="7">
        <v>0.76500000000000001</v>
      </c>
      <c r="J17" s="38">
        <f>SUM(D17,F17,H17)*I17/3</f>
        <v>42.661827569202948</v>
      </c>
    </row>
    <row r="18" spans="1:10" s="7" customFormat="1" x14ac:dyDescent="0.25">
      <c r="A18" s="39" t="s">
        <v>22</v>
      </c>
      <c r="B18" s="11" t="s">
        <v>28</v>
      </c>
      <c r="C18" s="11">
        <f>(0.5693+0.5192)/2</f>
        <v>0.54425000000000001</v>
      </c>
      <c r="D18" s="13">
        <f>100*(C18-MIN(C:C))/(MAX(C:C)-MIN(C:C))</f>
        <v>31.188538487622928</v>
      </c>
      <c r="E18" s="13">
        <v>5.68</v>
      </c>
      <c r="F18" s="13">
        <f>100*(E18-MAX(E:E))/(MIN(E:E)-MAX(E:E))</f>
        <v>76.953316953316943</v>
      </c>
      <c r="G18" s="11">
        <v>0.313</v>
      </c>
      <c r="H18" s="13">
        <f>100*(G18-MIN(G:G))/(MAX(G:G)-MIN(G:G))</f>
        <v>73.246753246753258</v>
      </c>
      <c r="I18" s="10">
        <v>0.76500000000000001</v>
      </c>
      <c r="J18" s="38">
        <f>SUM(D18,F18,H18)*I18/3</f>
        <v>46.254095215361751</v>
      </c>
    </row>
    <row r="19" spans="1:10" s="7" customFormat="1" x14ac:dyDescent="0.25">
      <c r="A19" s="39" t="s">
        <v>29</v>
      </c>
      <c r="B19" s="11" t="s">
        <v>41</v>
      </c>
      <c r="C19" s="11">
        <f>(0.8062+0.8354)/2</f>
        <v>0.82079999999999997</v>
      </c>
      <c r="D19" s="13">
        <f>100*(C19-MIN(C:C))/(MAX(C:C)-MIN(C:C))</f>
        <v>78.077314343845387</v>
      </c>
      <c r="E19" s="7">
        <v>2.5</v>
      </c>
      <c r="F19" s="13">
        <f>100*(E19-MAX(E:E))/(MIN(E:E)-MAX(E:E))</f>
        <v>92.57985257985257</v>
      </c>
      <c r="G19" s="11">
        <v>8.5999999999999993E-2</v>
      </c>
      <c r="H19" s="13">
        <f>100*(G19-MIN(G:G))/(MAX(G:G)-MIN(G:G))</f>
        <v>14.285714285714283</v>
      </c>
      <c r="I19" s="7">
        <v>0.71199999999999997</v>
      </c>
      <c r="J19" s="38">
        <f>SUM(D19,F19,H19)*I19/3</f>
        <v>43.893110473700496</v>
      </c>
    </row>
    <row r="20" spans="1:10" s="7" customFormat="1" x14ac:dyDescent="0.25">
      <c r="A20" s="7" t="s">
        <v>31</v>
      </c>
      <c r="B20" s="11" t="s">
        <v>41</v>
      </c>
      <c r="C20" s="11">
        <f>(0.6609+0.6524)/2</f>
        <v>0.65664999999999996</v>
      </c>
      <c r="D20" s="13">
        <f>100*(C20-MIN(C:C))/(MAX(C:C)-MIN(C:C))</f>
        <v>50.245846049508309</v>
      </c>
      <c r="E20" s="13">
        <v>12.31</v>
      </c>
      <c r="F20" s="13">
        <f>100*(E20-MAX(E:E))/(MIN(E:E)-MAX(E:E))</f>
        <v>44.373464373464365</v>
      </c>
      <c r="G20" s="11">
        <v>0.23799999999999999</v>
      </c>
      <c r="H20" s="13">
        <f>100*(G20-MIN(G:G))/(MAX(G:G)-MIN(G:G))</f>
        <v>53.766233766233761</v>
      </c>
      <c r="I20" s="7">
        <v>0.69299999999999995</v>
      </c>
      <c r="J20" s="38">
        <f>SUM(D20,F20,H20)*I20/3</f>
        <v>34.277060707706681</v>
      </c>
    </row>
    <row r="21" spans="1:10" s="7" customFormat="1" x14ac:dyDescent="0.25">
      <c r="A21" s="37" t="s">
        <v>30</v>
      </c>
      <c r="B21" s="11" t="s">
        <v>41</v>
      </c>
      <c r="C21" s="11">
        <f>(0.6458+0.4777)/2</f>
        <v>0.56174999999999997</v>
      </c>
      <c r="D21" s="13">
        <f>100*(C21-MIN(C:C))/(MAX(C:C)-MIN(C:C))</f>
        <v>34.155645981688707</v>
      </c>
      <c r="E21" s="13">
        <v>6.87</v>
      </c>
      <c r="F21" s="13">
        <f>100*(E21-MAX(E:E))/(MIN(E:E)-MAX(E:E))</f>
        <v>71.105651105651106</v>
      </c>
      <c r="G21" s="11">
        <v>0.374</v>
      </c>
      <c r="H21" s="13">
        <f>100*(G21-MIN(G:G))/(MAX(G:G)-MIN(G:G))</f>
        <v>89.090909090909079</v>
      </c>
      <c r="I21" s="7">
        <v>0.69</v>
      </c>
      <c r="J21" s="38">
        <f>SUM(D21,F21,H21)*I21/3</f>
        <v>44.701007420997236</v>
      </c>
    </row>
    <row r="22" spans="1:10" s="7" customFormat="1" x14ac:dyDescent="0.25">
      <c r="A22" s="37" t="s">
        <v>11</v>
      </c>
      <c r="B22" s="7" t="s">
        <v>17</v>
      </c>
      <c r="C22" s="9">
        <f>(0.7808+0.7735)/2</f>
        <v>0.77715000000000001</v>
      </c>
      <c r="D22" s="13">
        <f>100*(C22-MIN(C:C))/(MAX(C:C)-MIN(C:C))</f>
        <v>70.676500508647024</v>
      </c>
      <c r="E22" s="13">
        <v>4.99</v>
      </c>
      <c r="F22" s="13">
        <f>100*(E22-MAX(E:E))/(MIN(E:E)-MAX(E:E))</f>
        <v>80.343980343980348</v>
      </c>
      <c r="G22" s="9">
        <v>0.36599999999999999</v>
      </c>
      <c r="H22" s="13">
        <f>100*(G22-MIN(G:G))/(MAX(G:G)-MIN(G:G))</f>
        <v>87.012987012987011</v>
      </c>
      <c r="I22" s="7">
        <v>0.68400000000000005</v>
      </c>
      <c r="J22" s="38">
        <f>SUM(D22,F22,H22)*I22/3</f>
        <v>54.271630673360086</v>
      </c>
    </row>
    <row r="23" spans="1:10" s="7" customFormat="1" x14ac:dyDescent="0.25">
      <c r="A23" s="39" t="s">
        <v>37</v>
      </c>
      <c r="B23" s="12" t="s">
        <v>43</v>
      </c>
      <c r="C23" s="11">
        <f>(0.4588+0.4486)/2</f>
        <v>0.45369999999999999</v>
      </c>
      <c r="D23" s="13">
        <f>100*(C23-MIN(C:C))/(MAX(C:C)-MIN(C:C))</f>
        <v>15.835876568328247</v>
      </c>
      <c r="E23" s="13">
        <f>SQRT(((16.1-26)^2+(14.1-24.7)^2+(13.2-18)^2+(7.7-10.7)^2+(9.5-8)^2+(3.4-4)^2+(3.3-4)^2+(2.9-2)^2+(2.9-2)^2+(0.5-0.7)^2+(2.6)^2)/2)</f>
        <v>11.267874688689078</v>
      </c>
      <c r="F23" s="13">
        <f>100*(E23-MAX(E:E))/(MIN(E:E)-MAX(E:E))</f>
        <v>49.494473274255142</v>
      </c>
      <c r="G23" s="11">
        <v>0.14499999999999999</v>
      </c>
      <c r="H23" s="13">
        <f>100*(G23-MIN(G:G))/(MAX(G:G)-MIN(G:G))</f>
        <v>29.610389610389607</v>
      </c>
      <c r="I23" s="7">
        <v>0.65500000000000003</v>
      </c>
      <c r="J23" s="38">
        <f>SUM(D23,F23,H23)*I23/3</f>
        <v>20.728728113899106</v>
      </c>
    </row>
    <row r="24" spans="1:10" s="7" customFormat="1" x14ac:dyDescent="0.25">
      <c r="A24" s="7" t="s">
        <v>21</v>
      </c>
      <c r="B24" s="11" t="s">
        <v>28</v>
      </c>
      <c r="C24" s="11">
        <f>(0.822+0.6984)/2</f>
        <v>0.76019999999999999</v>
      </c>
      <c r="D24" s="13">
        <f>100*(C24-MIN(C:C))/(MAX(C:C)-MIN(C:C))</f>
        <v>67.802644964394716</v>
      </c>
      <c r="E24" s="13">
        <v>5.76</v>
      </c>
      <c r="F24" s="13">
        <f>100*(E24-MAX(E:E))/(MIN(E:E)-MAX(E:E))</f>
        <v>76.560196560196559</v>
      </c>
      <c r="G24" s="11">
        <v>0.109</v>
      </c>
      <c r="H24" s="13">
        <f>100*(G24-MIN(G:G))/(MAX(G:G)-MIN(G:G))</f>
        <v>20.259740259740258</v>
      </c>
      <c r="I24" s="10">
        <v>0.63300000000000001</v>
      </c>
      <c r="J24" s="38">
        <f>SUM(D24,F24,H24)*I24/3</f>
        <v>34.735364756493951</v>
      </c>
    </row>
    <row r="25" spans="1:10" s="7" customFormat="1" x14ac:dyDescent="0.25">
      <c r="A25" s="39" t="s">
        <v>9</v>
      </c>
      <c r="B25" s="7" t="s">
        <v>16</v>
      </c>
      <c r="C25" s="9">
        <f>(0.9457+0.91)/2</f>
        <v>0.92785000000000006</v>
      </c>
      <c r="D25" s="13">
        <f>100*(C25-MIN(C:C))/(MAX(C:C)-MIN(C:C))</f>
        <v>96.227534757544959</v>
      </c>
      <c r="E25" s="13">
        <f>SQRT(((73-52.3)^2+(8-11.4)^2+(4.4-9)^2+(3.6-5.6)^2+(3.6-4.7)^2+(0.7-4.5)^2+(0.7-3.2)^2+(3)^2+(3.6-2.9)^2+(2.5)^2)/2)</f>
        <v>15.856386725859082</v>
      </c>
      <c r="F25" s="13">
        <f>100*(E25-MAX(E:E))/(MIN(E:E)-MAX(E:E))</f>
        <v>26.946502575631044</v>
      </c>
      <c r="G25" s="9">
        <v>0.41599999999999998</v>
      </c>
      <c r="H25" s="13">
        <f>100*(G25-MIN(G:G))/(MAX(G:G)-MIN(G:G))</f>
        <v>100</v>
      </c>
      <c r="I25" s="7">
        <v>0.58699999999999997</v>
      </c>
      <c r="J25" s="38">
        <f>SUM(D25,F25,H25)*I25/3</f>
        <v>43.667719971524768</v>
      </c>
    </row>
    <row r="26" spans="1:10" s="7" customFormat="1" x14ac:dyDescent="0.25">
      <c r="A26" s="7" t="s">
        <v>10</v>
      </c>
      <c r="B26" s="7" t="s">
        <v>16</v>
      </c>
      <c r="C26" s="9">
        <f>(0.6917+0.5317)/2</f>
        <v>0.61169999999999991</v>
      </c>
      <c r="D26" s="13">
        <f>100*(C26-MIN(C:C))/(MAX(C:C)-MIN(C:C))</f>
        <v>42.624618514750757</v>
      </c>
      <c r="E26" s="13">
        <v>5.6</v>
      </c>
      <c r="F26" s="13">
        <f>100*(E26-MAX(E:E))/(MIN(E:E)-MAX(E:E))</f>
        <v>77.346437346437341</v>
      </c>
      <c r="G26" s="9">
        <v>0.25800000000000001</v>
      </c>
      <c r="H26" s="13">
        <f>100*(G26-MIN(G:G))/(MAX(G:G)-MIN(G:G))</f>
        <v>58.961038961038959</v>
      </c>
      <c r="I26" s="7">
        <v>0.58399999999999996</v>
      </c>
      <c r="J26" s="38">
        <f>SUM(D26,F26,H26)*I26/3</f>
        <v>34.832114458726863</v>
      </c>
    </row>
    <row r="27" spans="1:10" s="7" customFormat="1" x14ac:dyDescent="0.25">
      <c r="A27" s="39" t="s">
        <v>14</v>
      </c>
      <c r="B27" s="7" t="s">
        <v>17</v>
      </c>
      <c r="C27" s="9">
        <f>(0.5877+0.4276)/2</f>
        <v>0.50764999999999993</v>
      </c>
      <c r="D27" s="13">
        <f>100*(C27-MIN(C:C))/(MAX(C:C)-MIN(C:C))</f>
        <v>24.983045100033902</v>
      </c>
      <c r="E27" s="7">
        <v>4.5999999999999996</v>
      </c>
      <c r="F27" s="13">
        <f>100*(E27-MAX(E:E))/(MIN(E:E)-MAX(E:E))</f>
        <v>82.260442260442261</v>
      </c>
      <c r="G27" s="9">
        <v>0.214</v>
      </c>
      <c r="H27" s="13">
        <f>100*(G27-MIN(G:G))/(MAX(G:G)-MIN(G:G))</f>
        <v>47.532467532467535</v>
      </c>
      <c r="I27" s="7">
        <v>0.502</v>
      </c>
      <c r="J27" s="38">
        <f>SUM(D27,F27,H27)*I27/3</f>
        <v>25.899176452085911</v>
      </c>
    </row>
    <row r="28" spans="1:10" s="7" customFormat="1" x14ac:dyDescent="0.25">
      <c r="A28" s="7" t="s">
        <v>20</v>
      </c>
      <c r="B28" s="11" t="s">
        <v>27</v>
      </c>
      <c r="C28" s="11">
        <f>(0.387+0.6586)/2</f>
        <v>0.52279999999999993</v>
      </c>
      <c r="D28" s="13">
        <f>100*(C28-MIN(C:C))/(MAX(C:C)-MIN(C:C))</f>
        <v>27.55171244489657</v>
      </c>
      <c r="E28" s="13">
        <v>21.34</v>
      </c>
      <c r="F28" s="13">
        <f>100*(E28-MAX(E:E))/(MIN(E:E)-MAX(E:E))</f>
        <v>0</v>
      </c>
      <c r="G28" s="11">
        <v>0.316</v>
      </c>
      <c r="H28" s="13">
        <f>100*(G28-MIN(G:G))/(MAX(G:G)-MIN(G:G))</f>
        <v>74.025974025974037</v>
      </c>
      <c r="I28" s="10">
        <v>0.38300000000000001</v>
      </c>
      <c r="J28" s="38">
        <f>SUM(D28,F28,H28)*I28/3</f>
        <v>12.968084639447815</v>
      </c>
    </row>
    <row r="29" spans="1:10" s="7" customFormat="1" x14ac:dyDescent="0.25">
      <c r="A29" s="7" t="s">
        <v>13</v>
      </c>
      <c r="B29" s="7" t="s">
        <v>17</v>
      </c>
      <c r="C29" s="9">
        <f>(0.258+0.4832)/2</f>
        <v>0.37060000000000004</v>
      </c>
      <c r="D29" s="13">
        <f>100*(C29-MIN(C:C))/(MAX(C:C)-MIN(C:C))</f>
        <v>1.7463546965072962</v>
      </c>
      <c r="G29" s="9">
        <v>6.7000000000000004E-2</v>
      </c>
      <c r="H29" s="13">
        <f>100*(G29-MIN(G:G))/(MAX(G:G)-MIN(G:G))</f>
        <v>9.350649350649352</v>
      </c>
      <c r="I29" s="7">
        <v>0.377</v>
      </c>
      <c r="J29" s="38">
        <f>SUM(D29,F29,H29)*I29/2</f>
        <v>2.0917852628890281</v>
      </c>
    </row>
    <row r="30" spans="1:10" s="7" customFormat="1" x14ac:dyDescent="0.25">
      <c r="A30" s="7" t="s">
        <v>19</v>
      </c>
      <c r="B30" s="11" t="s">
        <v>27</v>
      </c>
      <c r="C30" s="11">
        <f>(0.6337+0.5796)/2</f>
        <v>0.60665000000000002</v>
      </c>
      <c r="D30" s="13">
        <f>100*(C30-MIN(C:C))/(MAX(C:C)-MIN(C:C))</f>
        <v>41.768396066463218</v>
      </c>
      <c r="E30" s="7">
        <v>3.4</v>
      </c>
      <c r="F30" s="13">
        <f>100*(E30-MAX(E:E))/(MIN(E:E)-MAX(E:E))</f>
        <v>88.157248157248162</v>
      </c>
      <c r="G30" s="11">
        <v>0.13600000000000001</v>
      </c>
      <c r="H30" s="13">
        <f>100*(G30-MIN(G:G))/(MAX(G:G)-MIN(G:G))</f>
        <v>27.272727272727277</v>
      </c>
      <c r="I30" s="10">
        <v>0.35899999999999999</v>
      </c>
      <c r="J30" s="38">
        <f>SUM(D30,F30,H30)*I30/3</f>
        <v>18.811405122407159</v>
      </c>
    </row>
    <row r="31" spans="1:10" s="7" customFormat="1" x14ac:dyDescent="0.25">
      <c r="A31" s="7" t="s">
        <v>32</v>
      </c>
      <c r="B31" s="11" t="s">
        <v>41</v>
      </c>
      <c r="C31" s="11">
        <f>(0.3755+0.5025)/2</f>
        <v>0.43899999999999995</v>
      </c>
      <c r="D31" s="13">
        <f>100*(C31-MIN(C:C))/(MAX(C:C)-MIN(C:C))</f>
        <v>13.343506273312979</v>
      </c>
      <c r="G31" s="11">
        <v>0.311</v>
      </c>
      <c r="H31" s="13">
        <f>100*(G31-MIN(G:G))/(MAX(G:G)-MIN(G:G))</f>
        <v>72.727272727272734</v>
      </c>
      <c r="I31" s="7">
        <v>0.34100000000000003</v>
      </c>
      <c r="J31" s="38">
        <f>SUM(D31,F31,H31)*I31/2</f>
        <v>14.675067819599866</v>
      </c>
    </row>
    <row r="32" spans="1:10" s="7" customFormat="1" x14ac:dyDescent="0.25">
      <c r="A32" s="7" t="s">
        <v>38</v>
      </c>
      <c r="B32" s="12" t="s">
        <v>43</v>
      </c>
      <c r="C32" s="11">
        <f>(0.1816+0.539)/2</f>
        <v>0.36030000000000001</v>
      </c>
      <c r="D32" s="13">
        <f>100*(C32-MIN(C:C))/(MAX(C:C)-MIN(C:C))</f>
        <v>0</v>
      </c>
      <c r="E32" s="13">
        <f>SQRT(((42.1-50.2)^2+(28.6-31.3)^2+(23.6-14.4)^2+(3.1-2.5)^2+(1.7-1.6)^2)/2)</f>
        <v>8.8856626089448163</v>
      </c>
      <c r="F32" s="13">
        <f>100*(E32-MAX(E:E))/(MIN(E:E)-MAX(E:E))</f>
        <v>61.200675140320307</v>
      </c>
      <c r="G32" s="11">
        <v>9.4E-2</v>
      </c>
      <c r="H32" s="13">
        <f>100*(G32-MIN(G:G))/(MAX(G:G)-MIN(G:G))</f>
        <v>16.363636363636363</v>
      </c>
      <c r="I32" s="7">
        <v>0.32500000000000001</v>
      </c>
      <c r="J32" s="38">
        <f>SUM(D32,F32,H32)*I32/3</f>
        <v>8.4028004129286398</v>
      </c>
    </row>
    <row r="33" spans="1:10" s="7" customFormat="1" x14ac:dyDescent="0.25">
      <c r="A33" s="7" t="s">
        <v>12</v>
      </c>
      <c r="B33" s="7" t="s">
        <v>17</v>
      </c>
      <c r="C33" s="9">
        <f>(0.6227+0.6181)/2</f>
        <v>0.62040000000000006</v>
      </c>
      <c r="D33" s="13">
        <f>100*(C33-MIN(C:C))/(MAX(C:C)-MIN(C:C))</f>
        <v>44.099694811800632</v>
      </c>
      <c r="E33" s="13">
        <f>SQRT(((62.8-59.7)^2+(25.9-35.5)^2+(4.8-2.1)^2)/2)</f>
        <v>7.3844431069648024</v>
      </c>
      <c r="F33" s="13">
        <f>100*(E33-MAX(E:E))/(MIN(E:E)-MAX(E:E))</f>
        <v>68.577675150050112</v>
      </c>
      <c r="G33" s="9">
        <v>3.1E-2</v>
      </c>
      <c r="H33" s="13">
        <f>100*(G33-MIN(G:G))/(MAX(G:G)-MIN(G:G))</f>
        <v>0</v>
      </c>
      <c r="I33" s="7">
        <v>0.19800000000000001</v>
      </c>
      <c r="J33" s="38">
        <f>SUM(D33,F33,H33)*I33/3</f>
        <v>7.4367064174821493</v>
      </c>
    </row>
    <row r="34" spans="1:10" x14ac:dyDescent="0.25">
      <c r="A34" s="4"/>
      <c r="B34" s="2"/>
      <c r="C34" s="5"/>
      <c r="G34"/>
      <c r="H34" s="4"/>
    </row>
    <row r="35" spans="1:10" x14ac:dyDescent="0.25">
      <c r="A35" s="4"/>
      <c r="B35" s="2"/>
      <c r="C35" s="5"/>
      <c r="G35"/>
      <c r="H35" s="4"/>
    </row>
    <row r="36" spans="1:10" x14ac:dyDescent="0.25">
      <c r="A36" s="4"/>
      <c r="B36" s="2"/>
      <c r="C36" s="5"/>
      <c r="G36"/>
      <c r="H36" s="4"/>
    </row>
    <row r="37" spans="1:10" x14ac:dyDescent="0.25">
      <c r="A37" s="6"/>
      <c r="B37" s="6"/>
      <c r="C37" s="6"/>
      <c r="D37" s="4"/>
      <c r="E37" s="6"/>
      <c r="G37"/>
      <c r="H37" s="4"/>
    </row>
    <row r="38" spans="1:10" x14ac:dyDescent="0.25">
      <c r="G38"/>
      <c r="H38" s="4"/>
    </row>
    <row r="39" spans="1:10" x14ac:dyDescent="0.25">
      <c r="G39"/>
      <c r="H39" s="4"/>
    </row>
    <row r="40" spans="1:10" x14ac:dyDescent="0.25">
      <c r="G40"/>
      <c r="H40" s="4"/>
    </row>
    <row r="41" spans="1:10" x14ac:dyDescent="0.25">
      <c r="G41"/>
      <c r="H41" s="4"/>
    </row>
    <row r="42" spans="1:10" x14ac:dyDescent="0.25">
      <c r="G42"/>
      <c r="H42" s="4"/>
    </row>
    <row r="43" spans="1:10" x14ac:dyDescent="0.25">
      <c r="G43"/>
      <c r="H43" s="4"/>
    </row>
    <row r="44" spans="1:10" x14ac:dyDescent="0.25">
      <c r="G44"/>
      <c r="H44" s="4"/>
    </row>
    <row r="45" spans="1:10" x14ac:dyDescent="0.25">
      <c r="G45"/>
      <c r="H45" s="4"/>
    </row>
    <row r="46" spans="1:10" x14ac:dyDescent="0.25">
      <c r="G46"/>
      <c r="H46" s="4"/>
    </row>
    <row r="47" spans="1:10" x14ac:dyDescent="0.25">
      <c r="G47"/>
      <c r="H47" s="4"/>
    </row>
    <row r="48" spans="1:10" x14ac:dyDescent="0.25">
      <c r="G48"/>
      <c r="H48" s="4"/>
    </row>
    <row r="49" spans="7:8" x14ac:dyDescent="0.25">
      <c r="G49"/>
      <c r="H49" s="4"/>
    </row>
    <row r="50" spans="7:8" x14ac:dyDescent="0.25">
      <c r="G50"/>
      <c r="H50" s="4"/>
    </row>
    <row r="51" spans="7:8" x14ac:dyDescent="0.25">
      <c r="G51"/>
      <c r="H51" s="4"/>
    </row>
    <row r="52" spans="7:8" x14ac:dyDescent="0.25">
      <c r="G52"/>
      <c r="H52" s="4"/>
    </row>
    <row r="53" spans="7:8" x14ac:dyDescent="0.25">
      <c r="G53"/>
      <c r="H53" s="4"/>
    </row>
    <row r="54" spans="7:8" x14ac:dyDescent="0.25">
      <c r="G54"/>
      <c r="H54" s="4"/>
    </row>
    <row r="55" spans="7:8" x14ac:dyDescent="0.25">
      <c r="G55"/>
      <c r="H55" s="4"/>
    </row>
    <row r="56" spans="7:8" x14ac:dyDescent="0.25">
      <c r="G56"/>
      <c r="H56" s="4"/>
    </row>
    <row r="57" spans="7:8" x14ac:dyDescent="0.25">
      <c r="G57"/>
      <c r="H57" s="4"/>
    </row>
    <row r="58" spans="7:8" x14ac:dyDescent="0.25">
      <c r="G58"/>
      <c r="H58" s="4"/>
    </row>
    <row r="59" spans="7:8" x14ac:dyDescent="0.25">
      <c r="G59"/>
      <c r="H59" s="4"/>
    </row>
    <row r="60" spans="7:8" x14ac:dyDescent="0.25">
      <c r="G60"/>
      <c r="H60" s="4"/>
    </row>
    <row r="61" spans="7:8" x14ac:dyDescent="0.25">
      <c r="G61"/>
      <c r="H61" s="4"/>
    </row>
    <row r="62" spans="7:8" x14ac:dyDescent="0.25">
      <c r="G62"/>
      <c r="H62" s="4"/>
    </row>
    <row r="63" spans="7:8" x14ac:dyDescent="0.25">
      <c r="G63"/>
      <c r="H63" s="4"/>
    </row>
    <row r="64" spans="7:8" x14ac:dyDescent="0.25">
      <c r="G64"/>
      <c r="H64" s="4"/>
    </row>
    <row r="65" spans="7:8" x14ac:dyDescent="0.25">
      <c r="G65"/>
      <c r="H65" s="4"/>
    </row>
    <row r="66" spans="7:8" x14ac:dyDescent="0.25">
      <c r="G66"/>
      <c r="H66" s="4"/>
    </row>
    <row r="67" spans="7:8" x14ac:dyDescent="0.25">
      <c r="G67"/>
      <c r="H67" s="4"/>
    </row>
    <row r="68" spans="7:8" x14ac:dyDescent="0.25">
      <c r="G68"/>
      <c r="H68" s="4"/>
    </row>
    <row r="69" spans="7:8" x14ac:dyDescent="0.25">
      <c r="G69"/>
      <c r="H69" s="4"/>
    </row>
    <row r="70" spans="7:8" x14ac:dyDescent="0.25">
      <c r="G70"/>
      <c r="H70" s="4"/>
    </row>
    <row r="71" spans="7:8" x14ac:dyDescent="0.25">
      <c r="G71"/>
      <c r="H71" s="4"/>
    </row>
    <row r="72" spans="7:8" x14ac:dyDescent="0.25">
      <c r="G72"/>
      <c r="H72" s="4"/>
    </row>
  </sheetData>
  <autoFilter ref="A1:J1">
    <sortState ref="A2:J33">
      <sortCondition descending="1" ref="I1"/>
    </sortState>
  </autoFilter>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topLeftCell="A4" workbookViewId="0">
      <selection activeCell="B36" sqref="B36"/>
    </sheetView>
  </sheetViews>
  <sheetFormatPr defaultRowHeight="15" x14ac:dyDescent="0.25"/>
  <cols>
    <col min="1" max="1" width="22.42578125" bestFit="1" customWidth="1"/>
    <col min="2" max="2" width="13.5703125" bestFit="1" customWidth="1"/>
    <col min="3" max="5" width="12" bestFit="1" customWidth="1"/>
  </cols>
  <sheetData>
    <row r="1" spans="1:5" x14ac:dyDescent="0.25">
      <c r="A1" s="35" t="s">
        <v>44</v>
      </c>
      <c r="B1" s="14" t="s">
        <v>50</v>
      </c>
      <c r="C1" s="15" t="s">
        <v>51</v>
      </c>
      <c r="D1" s="16" t="s">
        <v>52</v>
      </c>
      <c r="E1" s="34" t="s">
        <v>53</v>
      </c>
    </row>
    <row r="2" spans="1:5" x14ac:dyDescent="0.25">
      <c r="A2" s="6"/>
      <c r="B2" s="6"/>
      <c r="C2" s="2"/>
      <c r="D2" s="5"/>
      <c r="E2" s="6"/>
    </row>
    <row r="3" spans="1:5" x14ac:dyDescent="0.25">
      <c r="A3" s="14" t="s">
        <v>30</v>
      </c>
      <c r="B3" s="6"/>
      <c r="C3" s="2"/>
      <c r="D3" s="5"/>
      <c r="E3" s="6"/>
    </row>
    <row r="4" spans="1:5" x14ac:dyDescent="0.25">
      <c r="A4" s="19"/>
      <c r="B4" s="17" t="s">
        <v>35</v>
      </c>
      <c r="C4" s="2"/>
      <c r="D4" s="5"/>
      <c r="E4" s="6"/>
    </row>
    <row r="5" spans="1:5" x14ac:dyDescent="0.25">
      <c r="A5" s="20" t="s">
        <v>35</v>
      </c>
      <c r="B5" s="24"/>
      <c r="C5" s="2"/>
      <c r="D5" s="5"/>
      <c r="E5" s="6"/>
    </row>
    <row r="6" spans="1:5" x14ac:dyDescent="0.25">
      <c r="A6" s="6"/>
      <c r="B6" s="23"/>
      <c r="C6" s="18" t="s">
        <v>35</v>
      </c>
      <c r="D6" s="5"/>
      <c r="E6" s="6"/>
    </row>
    <row r="7" spans="1:5" x14ac:dyDescent="0.25">
      <c r="A7" s="6"/>
      <c r="B7" s="23"/>
      <c r="C7" s="26"/>
      <c r="D7" s="5"/>
      <c r="E7" s="6"/>
    </row>
    <row r="8" spans="1:5" x14ac:dyDescent="0.25">
      <c r="A8" s="14" t="s">
        <v>40</v>
      </c>
      <c r="B8" s="23"/>
      <c r="C8" s="27"/>
      <c r="D8" s="5"/>
      <c r="E8" s="6"/>
    </row>
    <row r="9" spans="1:5" x14ac:dyDescent="0.25">
      <c r="A9" s="19"/>
      <c r="B9" s="25" t="s">
        <v>3</v>
      </c>
      <c r="C9" s="27"/>
      <c r="D9" s="5"/>
      <c r="E9" s="6"/>
    </row>
    <row r="10" spans="1:5" x14ac:dyDescent="0.25">
      <c r="A10" s="20" t="s">
        <v>3</v>
      </c>
      <c r="B10" s="6"/>
      <c r="C10" s="28"/>
      <c r="D10" s="5"/>
      <c r="E10" s="6"/>
    </row>
    <row r="11" spans="1:5" x14ac:dyDescent="0.25">
      <c r="A11" s="6"/>
      <c r="B11" s="6"/>
      <c r="C11" s="28"/>
      <c r="D11" s="16" t="s">
        <v>35</v>
      </c>
      <c r="E11" s="6"/>
    </row>
    <row r="12" spans="1:5" x14ac:dyDescent="0.25">
      <c r="A12" s="6"/>
      <c r="B12" s="6"/>
      <c r="C12" s="28"/>
      <c r="D12" s="33"/>
      <c r="E12" s="6"/>
    </row>
    <row r="13" spans="1:5" x14ac:dyDescent="0.25">
      <c r="A13" s="17" t="s">
        <v>8</v>
      </c>
      <c r="B13" s="6"/>
      <c r="C13" s="28"/>
      <c r="D13" s="31"/>
      <c r="E13" s="6"/>
    </row>
    <row r="14" spans="1:5" x14ac:dyDescent="0.25">
      <c r="A14" s="19"/>
      <c r="B14" s="14" t="s">
        <v>8</v>
      </c>
      <c r="C14" s="28"/>
      <c r="D14" s="31"/>
      <c r="E14" s="6"/>
    </row>
    <row r="15" spans="1:5" x14ac:dyDescent="0.25">
      <c r="A15" s="21" t="s">
        <v>14</v>
      </c>
      <c r="B15" s="24"/>
      <c r="C15" s="27"/>
      <c r="D15" s="31"/>
      <c r="E15" s="6"/>
    </row>
    <row r="16" spans="1:5" x14ac:dyDescent="0.25">
      <c r="A16" s="6"/>
      <c r="B16" s="23"/>
      <c r="C16" s="29" t="s">
        <v>26</v>
      </c>
      <c r="D16" s="31"/>
      <c r="E16" s="6"/>
    </row>
    <row r="17" spans="1:5" x14ac:dyDescent="0.25">
      <c r="A17" s="6"/>
      <c r="B17" s="23"/>
      <c r="C17" s="2"/>
      <c r="D17" s="32"/>
      <c r="E17" s="6"/>
    </row>
    <row r="18" spans="1:5" x14ac:dyDescent="0.25">
      <c r="A18" s="17" t="s">
        <v>26</v>
      </c>
      <c r="B18" s="23"/>
      <c r="C18" s="2"/>
      <c r="D18" s="32"/>
      <c r="E18" s="6"/>
    </row>
    <row r="19" spans="1:5" x14ac:dyDescent="0.25">
      <c r="A19" s="19"/>
      <c r="B19" s="22" t="s">
        <v>26</v>
      </c>
      <c r="C19" s="2"/>
      <c r="D19" s="32"/>
      <c r="E19" s="6"/>
    </row>
    <row r="20" spans="1:5" x14ac:dyDescent="0.25">
      <c r="A20" s="21" t="s">
        <v>45</v>
      </c>
      <c r="B20" s="6"/>
      <c r="C20" s="2"/>
      <c r="D20" s="32"/>
      <c r="E20" s="17" t="s">
        <v>33</v>
      </c>
    </row>
    <row r="21" spans="1:5" x14ac:dyDescent="0.25">
      <c r="A21" s="6"/>
      <c r="B21" s="6"/>
      <c r="C21" s="2"/>
      <c r="D21" s="32"/>
      <c r="E21" s="6"/>
    </row>
    <row r="22" spans="1:5" x14ac:dyDescent="0.25">
      <c r="A22" s="6"/>
      <c r="B22" s="6"/>
      <c r="C22" s="2"/>
      <c r="D22" s="32"/>
      <c r="E22" s="6"/>
    </row>
    <row r="23" spans="1:5" x14ac:dyDescent="0.25">
      <c r="A23" s="17" t="s">
        <v>33</v>
      </c>
      <c r="B23" s="6"/>
      <c r="C23" s="2"/>
      <c r="D23" s="32"/>
      <c r="E23" s="6"/>
    </row>
    <row r="24" spans="1:5" x14ac:dyDescent="0.25">
      <c r="A24" s="19"/>
      <c r="B24" s="17" t="s">
        <v>33</v>
      </c>
      <c r="C24" s="2"/>
      <c r="D24" s="32"/>
      <c r="E24" s="6"/>
    </row>
    <row r="25" spans="1:5" x14ac:dyDescent="0.25">
      <c r="A25" s="21" t="s">
        <v>29</v>
      </c>
      <c r="B25" s="24"/>
      <c r="C25" s="2"/>
      <c r="D25" s="32"/>
      <c r="E25" s="6"/>
    </row>
    <row r="26" spans="1:5" x14ac:dyDescent="0.25">
      <c r="A26" s="6"/>
      <c r="B26" s="23"/>
      <c r="C26" s="18" t="s">
        <v>33</v>
      </c>
      <c r="D26" s="32"/>
      <c r="E26" s="6"/>
    </row>
    <row r="27" spans="1:5" x14ac:dyDescent="0.25">
      <c r="A27" s="6"/>
      <c r="B27" s="23"/>
      <c r="C27" s="26"/>
      <c r="D27" s="31"/>
      <c r="E27" s="6"/>
    </row>
    <row r="28" spans="1:5" x14ac:dyDescent="0.25">
      <c r="A28" s="17" t="s">
        <v>46</v>
      </c>
      <c r="B28" s="23"/>
      <c r="C28" s="27"/>
      <c r="D28" s="31"/>
      <c r="E28" s="6"/>
    </row>
    <row r="29" spans="1:5" x14ac:dyDescent="0.25">
      <c r="A29" s="19"/>
      <c r="B29" s="25" t="s">
        <v>5</v>
      </c>
      <c r="C29" s="27"/>
      <c r="D29" s="31"/>
      <c r="E29" s="6"/>
    </row>
    <row r="30" spans="1:5" x14ac:dyDescent="0.25">
      <c r="A30" s="21" t="s">
        <v>37</v>
      </c>
      <c r="B30" s="6"/>
      <c r="C30" s="28"/>
      <c r="D30" s="31"/>
      <c r="E30" s="6"/>
    </row>
    <row r="31" spans="1:5" x14ac:dyDescent="0.25">
      <c r="A31" s="6"/>
      <c r="B31" s="6"/>
      <c r="C31" s="28"/>
      <c r="D31" s="30" t="s">
        <v>33</v>
      </c>
      <c r="E31" s="6"/>
    </row>
    <row r="32" spans="1:5" x14ac:dyDescent="0.25">
      <c r="A32" s="6"/>
      <c r="B32" s="6"/>
      <c r="C32" s="28"/>
      <c r="D32" s="5"/>
      <c r="E32" s="6"/>
    </row>
    <row r="33" spans="1:5" x14ac:dyDescent="0.25">
      <c r="A33" s="17" t="s">
        <v>11</v>
      </c>
      <c r="B33" s="6"/>
      <c r="C33" s="28"/>
      <c r="D33" s="5"/>
      <c r="E33" s="6"/>
    </row>
    <row r="34" spans="1:5" x14ac:dyDescent="0.25">
      <c r="A34" s="19"/>
      <c r="B34" s="41" t="s">
        <v>11</v>
      </c>
      <c r="C34" s="28"/>
      <c r="D34" s="5"/>
      <c r="E34" s="6"/>
    </row>
    <row r="35" spans="1:5" x14ac:dyDescent="0.25">
      <c r="A35" s="21" t="s">
        <v>9</v>
      </c>
      <c r="B35" s="24"/>
      <c r="C35" s="27"/>
      <c r="D35" s="5"/>
      <c r="E35" s="6"/>
    </row>
    <row r="36" spans="1:5" x14ac:dyDescent="0.25">
      <c r="A36" s="6"/>
      <c r="B36" s="23"/>
      <c r="C36" s="29" t="s">
        <v>23</v>
      </c>
      <c r="D36" s="5"/>
      <c r="E36" s="6"/>
    </row>
    <row r="37" spans="1:5" x14ac:dyDescent="0.25">
      <c r="A37" s="6"/>
      <c r="B37" s="23"/>
      <c r="C37" s="2"/>
      <c r="D37" s="5"/>
      <c r="E37" s="6"/>
    </row>
    <row r="38" spans="1:5" x14ac:dyDescent="0.25">
      <c r="A38" s="17" t="s">
        <v>23</v>
      </c>
      <c r="B38" s="23"/>
      <c r="C38" s="2"/>
      <c r="D38" s="5"/>
      <c r="E38" s="6"/>
    </row>
    <row r="39" spans="1:5" x14ac:dyDescent="0.25">
      <c r="A39" s="19"/>
      <c r="B39" s="22" t="s">
        <v>23</v>
      </c>
      <c r="C39" s="2"/>
      <c r="D39" s="5"/>
      <c r="E39" s="6"/>
    </row>
    <row r="40" spans="1:5" x14ac:dyDescent="0.25">
      <c r="A40" s="21" t="s">
        <v>22</v>
      </c>
      <c r="B40" s="6"/>
      <c r="C40" s="2"/>
      <c r="D40" s="5"/>
      <c r="E40" s="6"/>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2"/>
  <sheetViews>
    <sheetView tabSelected="1" workbookViewId="0">
      <selection activeCell="B59" sqref="B59"/>
    </sheetView>
  </sheetViews>
  <sheetFormatPr defaultRowHeight="15" x14ac:dyDescent="0.25"/>
  <sheetData>
    <row r="1" spans="1:1" x14ac:dyDescent="0.25">
      <c r="A1" s="1" t="s">
        <v>2</v>
      </c>
    </row>
    <row r="2" spans="1:1" x14ac:dyDescent="0.25">
      <c r="A2" t="s">
        <v>54</v>
      </c>
    </row>
    <row r="3" spans="1:1" x14ac:dyDescent="0.25">
      <c r="A3" t="s">
        <v>55</v>
      </c>
    </row>
    <row r="4" spans="1:1" x14ac:dyDescent="0.25">
      <c r="A4" t="s">
        <v>56</v>
      </c>
    </row>
    <row r="7" spans="1:1" x14ac:dyDescent="0.25">
      <c r="A7" s="1" t="s">
        <v>57</v>
      </c>
    </row>
    <row r="8" spans="1:1" x14ac:dyDescent="0.25">
      <c r="A8" t="s">
        <v>58</v>
      </c>
    </row>
    <row r="9" spans="1:1" x14ac:dyDescent="0.25">
      <c r="A9" t="s">
        <v>59</v>
      </c>
    </row>
    <row r="10" spans="1:1" x14ac:dyDescent="0.25">
      <c r="A10" t="s">
        <v>60</v>
      </c>
    </row>
    <row r="11" spans="1:1" x14ac:dyDescent="0.25">
      <c r="A11" t="s">
        <v>61</v>
      </c>
    </row>
    <row r="12" spans="1:1" x14ac:dyDescent="0.25">
      <c r="A12" t="s">
        <v>62</v>
      </c>
    </row>
    <row r="13" spans="1:1" x14ac:dyDescent="0.25">
      <c r="A13" t="s">
        <v>63</v>
      </c>
    </row>
    <row r="14" spans="1:1" x14ac:dyDescent="0.25">
      <c r="A14" t="s">
        <v>64</v>
      </c>
    </row>
    <row r="17" spans="1:1" x14ac:dyDescent="0.25">
      <c r="A17" s="1" t="s">
        <v>65</v>
      </c>
    </row>
    <row r="18" spans="1:1" x14ac:dyDescent="0.25">
      <c r="A18" t="s">
        <v>67</v>
      </c>
    </row>
    <row r="19" spans="1:1" x14ac:dyDescent="0.25">
      <c r="A19" t="s">
        <v>66</v>
      </c>
    </row>
    <row r="20" spans="1:1" x14ac:dyDescent="0.25">
      <c r="A20" t="s">
        <v>68</v>
      </c>
    </row>
    <row r="22" spans="1:1" s="6" customFormat="1" x14ac:dyDescent="0.25">
      <c r="A22" s="1" t="s">
        <v>18</v>
      </c>
    </row>
    <row r="23" spans="1:1" s="6" customFormat="1" x14ac:dyDescent="0.25">
      <c r="A23" s="6" t="s">
        <v>69</v>
      </c>
    </row>
    <row r="24" spans="1:1" x14ac:dyDescent="0.25">
      <c r="A24" t="s">
        <v>70</v>
      </c>
    </row>
    <row r="25" spans="1:1" s="6" customFormat="1" x14ac:dyDescent="0.25">
      <c r="A25" s="6" t="s">
        <v>71</v>
      </c>
    </row>
    <row r="26" spans="1:1" s="6" customFormat="1" x14ac:dyDescent="0.25">
      <c r="A26" s="6" t="s">
        <v>72</v>
      </c>
    </row>
    <row r="27" spans="1:1" s="6" customFormat="1" x14ac:dyDescent="0.25"/>
    <row r="28" spans="1:1" s="6" customFormat="1" x14ac:dyDescent="0.25"/>
    <row r="29" spans="1:1" x14ac:dyDescent="0.25">
      <c r="A29" s="1" t="s">
        <v>90</v>
      </c>
    </row>
    <row r="30" spans="1:1" x14ac:dyDescent="0.25">
      <c r="A30" t="s">
        <v>91</v>
      </c>
    </row>
    <row r="31" spans="1:1" x14ac:dyDescent="0.25">
      <c r="A31" t="s">
        <v>92</v>
      </c>
    </row>
    <row r="32" spans="1:1" x14ac:dyDescent="0.25">
      <c r="A32" t="s">
        <v>93</v>
      </c>
    </row>
    <row r="33" spans="1:1" s="6" customFormat="1" x14ac:dyDescent="0.25">
      <c r="A33" s="6" t="s">
        <v>94</v>
      </c>
    </row>
    <row r="35" spans="1:1" x14ac:dyDescent="0.25">
      <c r="A35" s="1" t="s">
        <v>73</v>
      </c>
    </row>
    <row r="36" spans="1:1" x14ac:dyDescent="0.25">
      <c r="A36" t="s">
        <v>87</v>
      </c>
    </row>
    <row r="37" spans="1:1" x14ac:dyDescent="0.25">
      <c r="A37" t="s">
        <v>88</v>
      </c>
    </row>
    <row r="38" spans="1:1" x14ac:dyDescent="0.25">
      <c r="A38" t="s">
        <v>74</v>
      </c>
    </row>
    <row r="39" spans="1:1" x14ac:dyDescent="0.25">
      <c r="A39" t="s">
        <v>75</v>
      </c>
    </row>
    <row r="40" spans="1:1" x14ac:dyDescent="0.25">
      <c r="A40" t="s">
        <v>89</v>
      </c>
    </row>
    <row r="43" spans="1:1" x14ac:dyDescent="0.25">
      <c r="A43" s="1" t="s">
        <v>76</v>
      </c>
    </row>
    <row r="44" spans="1:1" x14ac:dyDescent="0.25">
      <c r="A44" t="s">
        <v>77</v>
      </c>
    </row>
    <row r="45" spans="1:1" x14ac:dyDescent="0.25">
      <c r="A45" t="s">
        <v>78</v>
      </c>
    </row>
    <row r="46" spans="1:1" x14ac:dyDescent="0.25">
      <c r="A46" t="s">
        <v>79</v>
      </c>
    </row>
    <row r="47" spans="1:1" x14ac:dyDescent="0.25">
      <c r="A47" t="s">
        <v>80</v>
      </c>
    </row>
    <row r="48" spans="1:1" x14ac:dyDescent="0.25">
      <c r="A48" t="s">
        <v>81</v>
      </c>
    </row>
    <row r="51" spans="1:1" x14ac:dyDescent="0.25">
      <c r="A51" s="1" t="s">
        <v>82</v>
      </c>
    </row>
    <row r="52" spans="1:1" x14ac:dyDescent="0.25">
      <c r="A52" t="s">
        <v>83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Bracket</vt:lpstr>
      <vt:lpstr>Methodology</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dc:creator>
  <cp:lastModifiedBy>Intern</cp:lastModifiedBy>
  <dcterms:created xsi:type="dcterms:W3CDTF">2014-06-20T15:01:55Z</dcterms:created>
  <dcterms:modified xsi:type="dcterms:W3CDTF">2014-07-03T20:08:17Z</dcterms:modified>
</cp:coreProperties>
</file>