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AIRVOTETPMDUS\FairVote\Programs\Research_Other\Dubious Democracy 2014\"/>
    </mc:Choice>
  </mc:AlternateContent>
  <bookViews>
    <workbookView xWindow="0" yWindow="0" windowWidth="21600" windowHeight="9735" tabRatio="850"/>
  </bookViews>
  <sheets>
    <sheet name="Data By District" sheetId="3" r:id="rId1"/>
    <sheet name="Data By State" sheetId="515" r:id="rId2"/>
    <sheet name="State rankings" sheetId="39124" r:id="rId3"/>
    <sheet name="Instructions" sheetId="1" r:id="rId4"/>
    <sheet name="National Averages" sheetId="39125" r:id="rId5"/>
    <sheet name="Seats to Votes" sheetId="868" r:id="rId6"/>
    <sheet name="Charts" sheetId="39126" r:id="rId7"/>
  </sheets>
  <definedNames>
    <definedName name="_xlnm._FilterDatabase" localSheetId="0" hidden="1">'Data By District'!$A$6:$AH$442</definedName>
    <definedName name="_xlnm._FilterDatabase" localSheetId="2" hidden="1">'State rankings'!$AG$7:$AI$57</definedName>
    <definedName name="_xlnm.Print_Area" localSheetId="0">'Data By District'!$O$7:$AF$448</definedName>
    <definedName name="_xlnm.Print_Area" localSheetId="1">'Data By State'!$A$7:$BQ$57</definedName>
    <definedName name="_xlnm.Print_Area" localSheetId="3">Instructions!$A$30:$Q$76</definedName>
    <definedName name="_xlnm.Print_Area" localSheetId="2">'State rankings'!$A$8:$AM$58</definedName>
    <definedName name="_xlnm.Print_Titles" localSheetId="0">'Data By District'!$A:$N,'Data By District'!$5:$6</definedName>
    <definedName name="_xlnm.Print_Titles" localSheetId="1">'Data By State'!$A:$B,'Data By State'!$5:$6</definedName>
    <definedName name="_xlnm.Print_Titles" localSheetId="2">'State rankings'!$6:$7</definedName>
  </definedNames>
  <calcPr calcId="152511"/>
</workbook>
</file>

<file path=xl/calcChain.xml><?xml version="1.0" encoding="utf-8"?>
<calcChain xmlns="http://schemas.openxmlformats.org/spreadsheetml/2006/main">
  <c r="W7" i="3" l="1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2" i="3"/>
  <c r="W23" i="3"/>
  <c r="W24" i="3"/>
  <c r="W25" i="3"/>
  <c r="W26" i="3"/>
  <c r="W27" i="3"/>
  <c r="AT53" i="515"/>
  <c r="AS53" i="515"/>
  <c r="W441" i="3"/>
  <c r="W440" i="3"/>
  <c r="W439" i="3"/>
  <c r="W438" i="3"/>
  <c r="W437" i="3"/>
  <c r="W436" i="3"/>
  <c r="W435" i="3"/>
  <c r="W434" i="3"/>
  <c r="W433" i="3"/>
  <c r="W432" i="3"/>
  <c r="W431" i="3"/>
  <c r="W430" i="3"/>
  <c r="W429" i="3"/>
  <c r="W428" i="3"/>
  <c r="W427" i="3"/>
  <c r="W426" i="3"/>
  <c r="W425" i="3"/>
  <c r="W424" i="3"/>
  <c r="W423" i="3"/>
  <c r="W422" i="3"/>
  <c r="W421" i="3"/>
  <c r="W420" i="3"/>
  <c r="W419" i="3"/>
  <c r="W418" i="3"/>
  <c r="W416" i="3"/>
  <c r="W415" i="3"/>
  <c r="W414" i="3"/>
  <c r="W413" i="3"/>
  <c r="W412" i="3"/>
  <c r="W411" i="3"/>
  <c r="W410" i="3"/>
  <c r="W409" i="3"/>
  <c r="W408" i="3"/>
  <c r="W407" i="3"/>
  <c r="W406" i="3"/>
  <c r="W405" i="3"/>
  <c r="W404" i="3"/>
  <c r="W403" i="3"/>
  <c r="W402" i="3"/>
  <c r="W401" i="3"/>
  <c r="W400" i="3"/>
  <c r="W399" i="3"/>
  <c r="W398" i="3"/>
  <c r="W396" i="3"/>
  <c r="W394" i="3"/>
  <c r="W393" i="3"/>
  <c r="W392" i="3"/>
  <c r="W391" i="3"/>
  <c r="W390" i="3"/>
  <c r="W389" i="3"/>
  <c r="W387" i="3"/>
  <c r="W386" i="3"/>
  <c r="W385" i="3"/>
  <c r="W384" i="3"/>
  <c r="W383" i="3"/>
  <c r="W382" i="3"/>
  <c r="W381" i="3"/>
  <c r="W380" i="3"/>
  <c r="W379" i="3"/>
  <c r="W378" i="3"/>
  <c r="W377" i="3"/>
  <c r="W376" i="3"/>
  <c r="W375" i="3"/>
  <c r="W374" i="3"/>
  <c r="W373" i="3"/>
  <c r="W372" i="3"/>
  <c r="W371" i="3"/>
  <c r="W370" i="3"/>
  <c r="W369" i="3"/>
  <c r="W368" i="3"/>
  <c r="W367" i="3"/>
  <c r="W366" i="3"/>
  <c r="W365" i="3"/>
  <c r="W364" i="3"/>
  <c r="W363" i="3"/>
  <c r="W362" i="3"/>
  <c r="W361" i="3"/>
  <c r="W360" i="3"/>
  <c r="W358" i="3"/>
  <c r="W357" i="3"/>
  <c r="W356" i="3"/>
  <c r="W355" i="3"/>
  <c r="W354" i="3"/>
  <c r="W353" i="3"/>
  <c r="W352" i="3"/>
  <c r="W351" i="3"/>
  <c r="W350" i="3"/>
  <c r="W349" i="3"/>
  <c r="W348" i="3"/>
  <c r="W347" i="3"/>
  <c r="W346" i="3"/>
  <c r="W345" i="3"/>
  <c r="W344" i="3"/>
  <c r="W343" i="3"/>
  <c r="W342" i="3"/>
  <c r="W341" i="3"/>
  <c r="W340" i="3"/>
  <c r="W339" i="3"/>
  <c r="W338" i="3"/>
  <c r="W337" i="3"/>
  <c r="W336" i="3"/>
  <c r="W335" i="3"/>
  <c r="W334" i="3"/>
  <c r="W333" i="3"/>
  <c r="W332" i="3"/>
  <c r="W331" i="3"/>
  <c r="W330" i="3"/>
  <c r="W329" i="3"/>
  <c r="W328" i="3"/>
  <c r="W327" i="3"/>
  <c r="W326" i="3"/>
  <c r="W325" i="3"/>
  <c r="W324" i="3"/>
  <c r="W323" i="3"/>
  <c r="W322" i="3"/>
  <c r="W321" i="3"/>
  <c r="W320" i="3"/>
  <c r="W319" i="3"/>
  <c r="W318" i="3"/>
  <c r="W317" i="3"/>
  <c r="W316" i="3"/>
  <c r="W315" i="3"/>
  <c r="W314" i="3"/>
  <c r="W313" i="3"/>
  <c r="W312" i="3"/>
  <c r="W311" i="3"/>
  <c r="W310" i="3"/>
  <c r="W309" i="3"/>
  <c r="W308" i="3"/>
  <c r="W307" i="3"/>
  <c r="W306" i="3"/>
  <c r="W305" i="3"/>
  <c r="W304" i="3"/>
  <c r="W303" i="3"/>
  <c r="W302" i="3"/>
  <c r="W301" i="3"/>
  <c r="W300" i="3"/>
  <c r="W298" i="3"/>
  <c r="W297" i="3"/>
  <c r="W296" i="3"/>
  <c r="W295" i="3"/>
  <c r="W294" i="3"/>
  <c r="W293" i="3"/>
  <c r="W292" i="3"/>
  <c r="W291" i="3"/>
  <c r="W290" i="3"/>
  <c r="W289" i="3"/>
  <c r="W288" i="3"/>
  <c r="W287" i="3"/>
  <c r="W286" i="3"/>
  <c r="W285" i="3"/>
  <c r="W284" i="3"/>
  <c r="W283" i="3"/>
  <c r="W282" i="3"/>
  <c r="W281" i="3"/>
  <c r="W280" i="3"/>
  <c r="W279" i="3"/>
  <c r="W277" i="3"/>
  <c r="W276" i="3"/>
  <c r="W275" i="3"/>
  <c r="W274" i="3"/>
  <c r="W273" i="3"/>
  <c r="W272" i="3"/>
  <c r="W271" i="3"/>
  <c r="W270" i="3"/>
  <c r="W269" i="3"/>
  <c r="W267" i="3"/>
  <c r="W266" i="3"/>
  <c r="W265" i="3"/>
  <c r="W264" i="3"/>
  <c r="W263" i="3"/>
  <c r="W262" i="3"/>
  <c r="W261" i="3"/>
  <c r="W260" i="3"/>
  <c r="W259" i="3"/>
  <c r="W258" i="3"/>
  <c r="W257" i="3"/>
  <c r="W256" i="3"/>
  <c r="W255" i="3"/>
  <c r="W254" i="3"/>
  <c r="W253" i="3"/>
  <c r="W252" i="3"/>
  <c r="W251" i="3"/>
  <c r="W250" i="3"/>
  <c r="W249" i="3"/>
  <c r="W248" i="3"/>
  <c r="W247" i="3"/>
  <c r="W246" i="3"/>
  <c r="W245" i="3"/>
  <c r="W244" i="3"/>
  <c r="W243" i="3"/>
  <c r="W242" i="3"/>
  <c r="W241" i="3"/>
  <c r="W240" i="3"/>
  <c r="W239" i="3"/>
  <c r="W238" i="3"/>
  <c r="W237" i="3"/>
  <c r="W236" i="3"/>
  <c r="W235" i="3"/>
  <c r="W234" i="3"/>
  <c r="W233" i="3"/>
  <c r="W232" i="3"/>
  <c r="W231" i="3"/>
  <c r="W230" i="3"/>
  <c r="W229" i="3"/>
  <c r="W227" i="3"/>
  <c r="W226" i="3"/>
  <c r="W225" i="3"/>
  <c r="W224" i="3"/>
  <c r="W223" i="3"/>
  <c r="W222" i="3"/>
  <c r="W221" i="3"/>
  <c r="W220" i="3"/>
  <c r="W219" i="3"/>
  <c r="W218" i="3"/>
  <c r="W217" i="3"/>
  <c r="W216" i="3"/>
  <c r="W215" i="3"/>
  <c r="W214" i="3"/>
  <c r="W213" i="3"/>
  <c r="W212" i="3"/>
  <c r="W211" i="3"/>
  <c r="W210" i="3"/>
  <c r="W209" i="3"/>
  <c r="W208" i="3"/>
  <c r="W207" i="3"/>
  <c r="W206" i="3"/>
  <c r="W205" i="3"/>
  <c r="W204" i="3"/>
  <c r="W203" i="3"/>
  <c r="W202" i="3"/>
  <c r="W201" i="3"/>
  <c r="W200" i="3"/>
  <c r="W199" i="3"/>
  <c r="W198" i="3"/>
  <c r="W197" i="3"/>
  <c r="W196" i="3"/>
  <c r="W195" i="3"/>
  <c r="W194" i="3"/>
  <c r="W193" i="3"/>
  <c r="W192" i="3"/>
  <c r="W191" i="3"/>
  <c r="W190" i="3"/>
  <c r="W189" i="3"/>
  <c r="W188" i="3"/>
  <c r="W187" i="3"/>
  <c r="W186" i="3"/>
  <c r="W185" i="3"/>
  <c r="W184" i="3"/>
  <c r="W183" i="3"/>
  <c r="W182" i="3"/>
  <c r="W181" i="3"/>
  <c r="W180" i="3"/>
  <c r="W179" i="3"/>
  <c r="W178" i="3"/>
  <c r="W177" i="3"/>
  <c r="W176" i="3"/>
  <c r="W175" i="3"/>
  <c r="W174" i="3"/>
  <c r="W173" i="3"/>
  <c r="W172" i="3"/>
  <c r="W171" i="3"/>
  <c r="W170" i="3"/>
  <c r="W169" i="3"/>
  <c r="W168" i="3"/>
  <c r="W167" i="3"/>
  <c r="W166" i="3"/>
  <c r="W165" i="3"/>
  <c r="W164" i="3"/>
  <c r="W163" i="3"/>
  <c r="W162" i="3"/>
  <c r="W161" i="3"/>
  <c r="W160" i="3"/>
  <c r="W159" i="3"/>
  <c r="W158" i="3"/>
  <c r="W157" i="3"/>
  <c r="W156" i="3"/>
  <c r="W155" i="3"/>
  <c r="W154" i="3"/>
  <c r="W153" i="3"/>
  <c r="W152" i="3"/>
  <c r="W151" i="3"/>
  <c r="W150" i="3"/>
  <c r="W149" i="3"/>
  <c r="W148" i="3"/>
  <c r="W147" i="3"/>
  <c r="W146" i="3"/>
  <c r="W145" i="3"/>
  <c r="W144" i="3"/>
  <c r="W143" i="3"/>
  <c r="W142" i="3"/>
  <c r="W141" i="3"/>
  <c r="W140" i="3"/>
  <c r="W139" i="3"/>
  <c r="W138" i="3"/>
  <c r="W137" i="3"/>
  <c r="W136" i="3"/>
  <c r="W135" i="3"/>
  <c r="W134" i="3"/>
  <c r="W133" i="3"/>
  <c r="W132" i="3"/>
  <c r="W131" i="3"/>
  <c r="W130" i="3"/>
  <c r="W129" i="3"/>
  <c r="W128" i="3"/>
  <c r="W127" i="3"/>
  <c r="W126" i="3"/>
  <c r="W125" i="3"/>
  <c r="W124" i="3"/>
  <c r="W123" i="3"/>
  <c r="W122" i="3"/>
  <c r="W121" i="3"/>
  <c r="W120" i="3"/>
  <c r="W119" i="3"/>
  <c r="W118" i="3"/>
  <c r="W117" i="3"/>
  <c r="W116" i="3"/>
  <c r="W115" i="3"/>
  <c r="W114" i="3"/>
  <c r="W113" i="3"/>
  <c r="W112" i="3"/>
  <c r="W111" i="3"/>
  <c r="W110" i="3"/>
  <c r="W109" i="3"/>
  <c r="W108" i="3"/>
  <c r="W107" i="3"/>
  <c r="W105" i="3"/>
  <c r="W104" i="3"/>
  <c r="W103" i="3"/>
  <c r="W102" i="3"/>
  <c r="W101" i="3"/>
  <c r="W100" i="3"/>
  <c r="W99" i="3"/>
  <c r="W98" i="3"/>
  <c r="W96" i="3"/>
  <c r="W95" i="3"/>
  <c r="W94" i="3"/>
  <c r="W93" i="3"/>
  <c r="W92" i="3"/>
  <c r="W91" i="3"/>
  <c r="W90" i="3"/>
  <c r="W89" i="3"/>
  <c r="W88" i="3"/>
  <c r="W87" i="3"/>
  <c r="W86" i="3"/>
  <c r="W85" i="3"/>
  <c r="W84" i="3"/>
  <c r="W83" i="3"/>
  <c r="W82" i="3"/>
  <c r="W81" i="3"/>
  <c r="W80" i="3" l="1"/>
  <c r="W79" i="3"/>
  <c r="W78" i="3"/>
  <c r="W77" i="3"/>
  <c r="W76" i="3"/>
  <c r="W75" i="3"/>
  <c r="W74" i="3"/>
  <c r="W73" i="3"/>
  <c r="W72" i="3"/>
  <c r="W71" i="3"/>
  <c r="W70" i="3"/>
  <c r="W69" i="3"/>
  <c r="W68" i="3"/>
  <c r="W67" i="3"/>
  <c r="W66" i="3"/>
  <c r="W65" i="3"/>
  <c r="W64" i="3"/>
  <c r="W63" i="3"/>
  <c r="W62" i="3"/>
  <c r="W61" i="3"/>
  <c r="W60" i="3"/>
  <c r="W59" i="3"/>
  <c r="W58" i="3"/>
  <c r="W57" i="3"/>
  <c r="W56" i="3"/>
  <c r="W55" i="3"/>
  <c r="W54" i="3"/>
  <c r="W53" i="3"/>
  <c r="W52" i="3"/>
  <c r="W51" i="3"/>
  <c r="W50" i="3"/>
  <c r="W49" i="3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D57" i="515" l="1"/>
  <c r="AU56" i="515" l="1"/>
  <c r="AT56" i="515"/>
  <c r="AS56" i="515"/>
  <c r="Q442" i="3" l="1"/>
  <c r="O442" i="3"/>
  <c r="S442" i="3"/>
  <c r="U442" i="3"/>
  <c r="T442" i="3" l="1"/>
  <c r="AT24" i="515" l="1"/>
  <c r="AT11" i="515"/>
  <c r="AS24" i="515"/>
  <c r="AS11" i="515"/>
  <c r="AS7" i="515"/>
  <c r="AT7" i="515"/>
  <c r="AS8" i="515"/>
  <c r="AS9" i="515"/>
  <c r="AS10" i="515"/>
  <c r="AS12" i="515"/>
  <c r="AS13" i="515"/>
  <c r="AS14" i="515"/>
  <c r="AS15" i="515"/>
  <c r="AS16" i="515"/>
  <c r="AS17" i="515"/>
  <c r="AS18" i="515"/>
  <c r="AS19" i="515"/>
  <c r="AS20" i="515"/>
  <c r="AS21" i="515"/>
  <c r="AS22" i="515"/>
  <c r="AS23" i="515"/>
  <c r="AS25" i="515"/>
  <c r="AS26" i="515"/>
  <c r="AS27" i="515"/>
  <c r="AS28" i="515"/>
  <c r="AS29" i="515"/>
  <c r="AS30" i="515"/>
  <c r="AS31" i="515"/>
  <c r="AS32" i="515"/>
  <c r="AS33" i="515"/>
  <c r="AS34" i="515"/>
  <c r="AS35" i="515"/>
  <c r="AS36" i="515"/>
  <c r="AS37" i="515"/>
  <c r="AS38" i="515"/>
  <c r="AS39" i="515"/>
  <c r="AS40" i="515"/>
  <c r="AS41" i="515"/>
  <c r="AS42" i="515"/>
  <c r="AS43" i="515"/>
  <c r="AS44" i="515"/>
  <c r="AS45" i="515"/>
  <c r="AS46" i="515"/>
  <c r="AS47" i="515"/>
  <c r="AS48" i="515"/>
  <c r="AS49" i="515"/>
  <c r="AS50" i="515"/>
  <c r="AS51" i="515"/>
  <c r="AS52" i="515"/>
  <c r="AS54" i="515"/>
  <c r="AS55" i="515"/>
  <c r="T441" i="3"/>
  <c r="T440" i="3"/>
  <c r="T439" i="3"/>
  <c r="T438" i="3"/>
  <c r="T437" i="3"/>
  <c r="T436" i="3"/>
  <c r="T435" i="3"/>
  <c r="T434" i="3"/>
  <c r="T433" i="3"/>
  <c r="T432" i="3"/>
  <c r="T431" i="3"/>
  <c r="T430" i="3"/>
  <c r="T429" i="3"/>
  <c r="T428" i="3"/>
  <c r="T427" i="3"/>
  <c r="T426" i="3"/>
  <c r="T425" i="3"/>
  <c r="T424" i="3"/>
  <c r="T423" i="3"/>
  <c r="T422" i="3"/>
  <c r="T421" i="3"/>
  <c r="T420" i="3"/>
  <c r="T419" i="3"/>
  <c r="T418" i="3"/>
  <c r="T417" i="3"/>
  <c r="T416" i="3"/>
  <c r="T415" i="3"/>
  <c r="T414" i="3"/>
  <c r="T413" i="3"/>
  <c r="T412" i="3"/>
  <c r="T411" i="3"/>
  <c r="T410" i="3"/>
  <c r="T409" i="3"/>
  <c r="T408" i="3"/>
  <c r="T407" i="3"/>
  <c r="T406" i="3"/>
  <c r="T405" i="3"/>
  <c r="T404" i="3"/>
  <c r="T403" i="3"/>
  <c r="T402" i="3"/>
  <c r="T401" i="3"/>
  <c r="T400" i="3"/>
  <c r="T399" i="3"/>
  <c r="T398" i="3"/>
  <c r="T397" i="3"/>
  <c r="T396" i="3"/>
  <c r="T395" i="3"/>
  <c r="T394" i="3"/>
  <c r="T393" i="3"/>
  <c r="T392" i="3"/>
  <c r="T391" i="3"/>
  <c r="T390" i="3"/>
  <c r="T389" i="3"/>
  <c r="T388" i="3"/>
  <c r="T387" i="3"/>
  <c r="T386" i="3"/>
  <c r="T385" i="3"/>
  <c r="T384" i="3"/>
  <c r="T383" i="3"/>
  <c r="T382" i="3"/>
  <c r="T381" i="3"/>
  <c r="T380" i="3"/>
  <c r="T379" i="3"/>
  <c r="T378" i="3"/>
  <c r="T377" i="3"/>
  <c r="T376" i="3"/>
  <c r="T375" i="3"/>
  <c r="T374" i="3"/>
  <c r="T373" i="3"/>
  <c r="T372" i="3"/>
  <c r="T371" i="3"/>
  <c r="T370" i="3"/>
  <c r="T369" i="3"/>
  <c r="T368" i="3"/>
  <c r="T367" i="3"/>
  <c r="T366" i="3"/>
  <c r="T365" i="3"/>
  <c r="T364" i="3"/>
  <c r="T363" i="3"/>
  <c r="T362" i="3"/>
  <c r="T361" i="3"/>
  <c r="T360" i="3"/>
  <c r="T359" i="3"/>
  <c r="T358" i="3"/>
  <c r="T357" i="3"/>
  <c r="T356" i="3"/>
  <c r="T355" i="3"/>
  <c r="T354" i="3"/>
  <c r="T353" i="3"/>
  <c r="T352" i="3"/>
  <c r="T351" i="3"/>
  <c r="T350" i="3"/>
  <c r="T349" i="3"/>
  <c r="T348" i="3"/>
  <c r="T347" i="3"/>
  <c r="T346" i="3"/>
  <c r="T345" i="3"/>
  <c r="T344" i="3"/>
  <c r="T343" i="3"/>
  <c r="T342" i="3"/>
  <c r="T341" i="3"/>
  <c r="T340" i="3"/>
  <c r="T339" i="3"/>
  <c r="T338" i="3"/>
  <c r="T337" i="3"/>
  <c r="T336" i="3"/>
  <c r="T335" i="3"/>
  <c r="T334" i="3"/>
  <c r="T333" i="3"/>
  <c r="T332" i="3"/>
  <c r="T331" i="3"/>
  <c r="T330" i="3"/>
  <c r="T329" i="3"/>
  <c r="T328" i="3"/>
  <c r="T327" i="3"/>
  <c r="T326" i="3"/>
  <c r="T325" i="3"/>
  <c r="T324" i="3"/>
  <c r="T323" i="3"/>
  <c r="T322" i="3"/>
  <c r="T321" i="3"/>
  <c r="T320" i="3"/>
  <c r="T319" i="3"/>
  <c r="T318" i="3"/>
  <c r="T317" i="3"/>
  <c r="T316" i="3"/>
  <c r="T315" i="3"/>
  <c r="T314" i="3"/>
  <c r="T313" i="3"/>
  <c r="T312" i="3"/>
  <c r="T311" i="3"/>
  <c r="T310" i="3"/>
  <c r="T309" i="3"/>
  <c r="T308" i="3"/>
  <c r="T307" i="3"/>
  <c r="T306" i="3"/>
  <c r="T305" i="3"/>
  <c r="T304" i="3"/>
  <c r="T303" i="3"/>
  <c r="T302" i="3"/>
  <c r="T301" i="3"/>
  <c r="T300" i="3"/>
  <c r="T299" i="3"/>
  <c r="T298" i="3"/>
  <c r="T297" i="3"/>
  <c r="T296" i="3"/>
  <c r="T295" i="3"/>
  <c r="T294" i="3"/>
  <c r="T293" i="3"/>
  <c r="T292" i="3"/>
  <c r="T291" i="3"/>
  <c r="T290" i="3"/>
  <c r="T289" i="3"/>
  <c r="T288" i="3"/>
  <c r="T287" i="3"/>
  <c r="T286" i="3"/>
  <c r="T285" i="3"/>
  <c r="T284" i="3"/>
  <c r="T283" i="3"/>
  <c r="T282" i="3"/>
  <c r="T281" i="3"/>
  <c r="T280" i="3"/>
  <c r="T279" i="3"/>
  <c r="T278" i="3"/>
  <c r="T277" i="3"/>
  <c r="T276" i="3"/>
  <c r="T275" i="3"/>
  <c r="T274" i="3"/>
  <c r="T273" i="3"/>
  <c r="T272" i="3"/>
  <c r="T271" i="3"/>
  <c r="T270" i="3"/>
  <c r="T269" i="3"/>
  <c r="T268" i="3"/>
  <c r="T267" i="3"/>
  <c r="T266" i="3"/>
  <c r="T265" i="3"/>
  <c r="T264" i="3"/>
  <c r="T263" i="3"/>
  <c r="T262" i="3"/>
  <c r="T261" i="3"/>
  <c r="T260" i="3"/>
  <c r="T259" i="3"/>
  <c r="T258" i="3"/>
  <c r="T257" i="3"/>
  <c r="T256" i="3"/>
  <c r="T255" i="3"/>
  <c r="T254" i="3"/>
  <c r="T253" i="3"/>
  <c r="T252" i="3"/>
  <c r="T251" i="3"/>
  <c r="T250" i="3"/>
  <c r="T249" i="3"/>
  <c r="T248" i="3"/>
  <c r="T247" i="3"/>
  <c r="T246" i="3"/>
  <c r="T245" i="3"/>
  <c r="T244" i="3"/>
  <c r="T243" i="3"/>
  <c r="T242" i="3"/>
  <c r="T241" i="3"/>
  <c r="T240" i="3"/>
  <c r="T239" i="3"/>
  <c r="T238" i="3"/>
  <c r="T237" i="3"/>
  <c r="T236" i="3"/>
  <c r="T235" i="3"/>
  <c r="T234" i="3"/>
  <c r="T233" i="3"/>
  <c r="T232" i="3"/>
  <c r="T231" i="3"/>
  <c r="T230" i="3"/>
  <c r="T229" i="3"/>
  <c r="T228" i="3"/>
  <c r="T227" i="3"/>
  <c r="T226" i="3"/>
  <c r="T225" i="3"/>
  <c r="T224" i="3"/>
  <c r="T223" i="3"/>
  <c r="T222" i="3"/>
  <c r="T221" i="3"/>
  <c r="T220" i="3"/>
  <c r="T219" i="3"/>
  <c r="T218" i="3"/>
  <c r="T217" i="3"/>
  <c r="T216" i="3"/>
  <c r="T215" i="3"/>
  <c r="T214" i="3"/>
  <c r="T213" i="3"/>
  <c r="T212" i="3"/>
  <c r="T211" i="3"/>
  <c r="T210" i="3"/>
  <c r="T209" i="3"/>
  <c r="T208" i="3"/>
  <c r="T207" i="3"/>
  <c r="T206" i="3"/>
  <c r="T205" i="3"/>
  <c r="T204" i="3"/>
  <c r="T203" i="3"/>
  <c r="T202" i="3"/>
  <c r="T201" i="3"/>
  <c r="T200" i="3"/>
  <c r="T199" i="3"/>
  <c r="T198" i="3"/>
  <c r="T197" i="3"/>
  <c r="T196" i="3"/>
  <c r="T195" i="3"/>
  <c r="T194" i="3"/>
  <c r="T193" i="3"/>
  <c r="T192" i="3"/>
  <c r="T191" i="3"/>
  <c r="T190" i="3"/>
  <c r="T189" i="3"/>
  <c r="T188" i="3"/>
  <c r="T187" i="3"/>
  <c r="T186" i="3"/>
  <c r="T185" i="3"/>
  <c r="T184" i="3"/>
  <c r="T183" i="3"/>
  <c r="T182" i="3"/>
  <c r="T181" i="3"/>
  <c r="T180" i="3"/>
  <c r="T179" i="3"/>
  <c r="T178" i="3"/>
  <c r="T177" i="3"/>
  <c r="T176" i="3"/>
  <c r="T175" i="3"/>
  <c r="T174" i="3"/>
  <c r="T173" i="3"/>
  <c r="T172" i="3"/>
  <c r="T171" i="3"/>
  <c r="T170" i="3"/>
  <c r="T169" i="3"/>
  <c r="T168" i="3"/>
  <c r="T167" i="3"/>
  <c r="T166" i="3"/>
  <c r="T165" i="3"/>
  <c r="T164" i="3"/>
  <c r="T163" i="3"/>
  <c r="T162" i="3"/>
  <c r="T161" i="3"/>
  <c r="T160" i="3"/>
  <c r="T159" i="3"/>
  <c r="T158" i="3"/>
  <c r="T157" i="3"/>
  <c r="T156" i="3"/>
  <c r="T155" i="3"/>
  <c r="T154" i="3"/>
  <c r="T153" i="3"/>
  <c r="T152" i="3"/>
  <c r="T151" i="3"/>
  <c r="T150" i="3"/>
  <c r="T149" i="3"/>
  <c r="T148" i="3"/>
  <c r="T147" i="3"/>
  <c r="T146" i="3"/>
  <c r="T145" i="3"/>
  <c r="T144" i="3"/>
  <c r="T143" i="3"/>
  <c r="T142" i="3"/>
  <c r="T141" i="3"/>
  <c r="T140" i="3"/>
  <c r="T139" i="3"/>
  <c r="T138" i="3"/>
  <c r="T137" i="3"/>
  <c r="T136" i="3"/>
  <c r="T135" i="3"/>
  <c r="T134" i="3"/>
  <c r="T133" i="3"/>
  <c r="T132" i="3"/>
  <c r="T131" i="3"/>
  <c r="T130" i="3"/>
  <c r="T129" i="3"/>
  <c r="T128" i="3"/>
  <c r="T127" i="3"/>
  <c r="T126" i="3"/>
  <c r="T125" i="3"/>
  <c r="T124" i="3"/>
  <c r="T123" i="3"/>
  <c r="T122" i="3"/>
  <c r="T121" i="3"/>
  <c r="T120" i="3"/>
  <c r="T119" i="3"/>
  <c r="T118" i="3"/>
  <c r="T117" i="3"/>
  <c r="T116" i="3"/>
  <c r="T115" i="3"/>
  <c r="T114" i="3"/>
  <c r="T113" i="3"/>
  <c r="T112" i="3"/>
  <c r="T111" i="3"/>
  <c r="T110" i="3"/>
  <c r="T109" i="3"/>
  <c r="T108" i="3"/>
  <c r="T107" i="3"/>
  <c r="T106" i="3"/>
  <c r="T105" i="3"/>
  <c r="T104" i="3"/>
  <c r="T103" i="3"/>
  <c r="T102" i="3"/>
  <c r="T101" i="3"/>
  <c r="T100" i="3"/>
  <c r="T99" i="3"/>
  <c r="T98" i="3"/>
  <c r="T97" i="3"/>
  <c r="T96" i="3"/>
  <c r="T95" i="3"/>
  <c r="T94" i="3"/>
  <c r="T93" i="3"/>
  <c r="T92" i="3"/>
  <c r="T91" i="3"/>
  <c r="T90" i="3"/>
  <c r="T89" i="3"/>
  <c r="T88" i="3"/>
  <c r="T87" i="3"/>
  <c r="T86" i="3"/>
  <c r="T85" i="3"/>
  <c r="T84" i="3"/>
  <c r="T83" i="3"/>
  <c r="T82" i="3"/>
  <c r="T81" i="3"/>
  <c r="T80" i="3"/>
  <c r="T79" i="3"/>
  <c r="T78" i="3"/>
  <c r="T77" i="3"/>
  <c r="T76" i="3"/>
  <c r="T75" i="3"/>
  <c r="T74" i="3"/>
  <c r="T73" i="3"/>
  <c r="T72" i="3"/>
  <c r="T71" i="3"/>
  <c r="T70" i="3"/>
  <c r="T69" i="3"/>
  <c r="T68" i="3"/>
  <c r="T67" i="3"/>
  <c r="T66" i="3"/>
  <c r="T65" i="3"/>
  <c r="T64" i="3"/>
  <c r="T63" i="3"/>
  <c r="T62" i="3"/>
  <c r="T61" i="3"/>
  <c r="T60" i="3"/>
  <c r="T59" i="3"/>
  <c r="T58" i="3"/>
  <c r="T57" i="3"/>
  <c r="T56" i="3"/>
  <c r="T55" i="3"/>
  <c r="T54" i="3"/>
  <c r="T53" i="3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AS57" i="515" l="1"/>
  <c r="J439" i="3" l="1"/>
  <c r="K439" i="3"/>
  <c r="J430" i="3"/>
  <c r="K430" i="3"/>
  <c r="J423" i="3"/>
  <c r="K423" i="3"/>
  <c r="K390" i="3"/>
  <c r="J367" i="3"/>
  <c r="J370" i="3"/>
  <c r="J372" i="3"/>
  <c r="K367" i="3"/>
  <c r="K370" i="3"/>
  <c r="K372" i="3"/>
  <c r="J358" i="3"/>
  <c r="J360" i="3"/>
  <c r="J361" i="3"/>
  <c r="K358" i="3"/>
  <c r="K360" i="3"/>
  <c r="K361" i="3"/>
  <c r="J356" i="3"/>
  <c r="K356" i="3"/>
  <c r="J343" i="3"/>
  <c r="J348" i="3"/>
  <c r="K343" i="3"/>
  <c r="K348" i="3"/>
  <c r="J331" i="3"/>
  <c r="K331" i="3"/>
  <c r="J311" i="3"/>
  <c r="J294" i="3"/>
  <c r="K294" i="3"/>
  <c r="J257" i="3"/>
  <c r="J251" i="3"/>
  <c r="K249" i="3"/>
  <c r="J249" i="3"/>
  <c r="K238" i="3"/>
  <c r="J238" i="3"/>
  <c r="K217" i="3"/>
  <c r="J217" i="3"/>
  <c r="K205" i="3"/>
  <c r="K206" i="3"/>
  <c r="K207" i="3"/>
  <c r="J205" i="3"/>
  <c r="J206" i="3"/>
  <c r="J207" i="3"/>
  <c r="K204" i="3"/>
  <c r="J204" i="3"/>
  <c r="J194" i="3"/>
  <c r="J180" i="3"/>
  <c r="K180" i="3"/>
  <c r="J168" i="3"/>
  <c r="J170" i="3"/>
  <c r="J171" i="3"/>
  <c r="K168" i="3"/>
  <c r="K170" i="3"/>
  <c r="K171" i="3"/>
  <c r="K161" i="3"/>
  <c r="J161" i="3"/>
  <c r="K156" i="3"/>
  <c r="K157" i="3"/>
  <c r="J156" i="3"/>
  <c r="J157" i="3"/>
  <c r="J147" i="3"/>
  <c r="J146" i="3"/>
  <c r="J144" i="3"/>
  <c r="K144" i="3"/>
  <c r="K124" i="3"/>
  <c r="K126" i="3"/>
  <c r="J124" i="3"/>
  <c r="J126" i="3"/>
  <c r="K117" i="3"/>
  <c r="J117" i="3"/>
  <c r="K113" i="3"/>
  <c r="J113" i="3"/>
  <c r="K109" i="3"/>
  <c r="K111" i="3"/>
  <c r="J109" i="3"/>
  <c r="J111" i="3"/>
  <c r="K104" i="3"/>
  <c r="J104" i="3"/>
  <c r="K97" i="3"/>
  <c r="J97" i="3"/>
  <c r="K92" i="3"/>
  <c r="J92" i="3"/>
  <c r="K87" i="3"/>
  <c r="K88" i="3"/>
  <c r="K89" i="3"/>
  <c r="K90" i="3"/>
  <c r="K91" i="3"/>
  <c r="J87" i="3"/>
  <c r="J88" i="3"/>
  <c r="J89" i="3"/>
  <c r="J90" i="3"/>
  <c r="J91" i="3"/>
  <c r="K80" i="3"/>
  <c r="K81" i="3"/>
  <c r="K84" i="3"/>
  <c r="K85" i="3"/>
  <c r="K86" i="3"/>
  <c r="J80" i="3"/>
  <c r="J81" i="3"/>
  <c r="J84" i="3"/>
  <c r="J85" i="3"/>
  <c r="J86" i="3"/>
  <c r="K82" i="3"/>
  <c r="K83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K26" i="3"/>
  <c r="J26" i="3"/>
  <c r="J23" i="3"/>
  <c r="J24" i="3"/>
  <c r="J25" i="3"/>
  <c r="K24" i="3"/>
  <c r="K25" i="3"/>
  <c r="K20" i="3"/>
  <c r="K21" i="3"/>
  <c r="K22" i="3"/>
  <c r="J20" i="3"/>
  <c r="J21" i="3"/>
  <c r="J22" i="3"/>
  <c r="K14" i="3"/>
  <c r="K18" i="3"/>
  <c r="J18" i="3"/>
  <c r="J16" i="3"/>
  <c r="J17" i="3"/>
  <c r="K16" i="3"/>
  <c r="K17" i="3"/>
  <c r="J14" i="3"/>
  <c r="K9" i="3"/>
  <c r="K10" i="3"/>
  <c r="K11" i="3"/>
  <c r="K12" i="3"/>
  <c r="K13" i="3"/>
  <c r="K7" i="3"/>
  <c r="J12" i="3"/>
  <c r="J13" i="3"/>
  <c r="J9" i="3"/>
  <c r="J10" i="3"/>
  <c r="J11" i="3"/>
  <c r="J7" i="3"/>
  <c r="AO8" i="515"/>
  <c r="AO9" i="515"/>
  <c r="AO10" i="515"/>
  <c r="AO11" i="515"/>
  <c r="AO12" i="515"/>
  <c r="AO13" i="515"/>
  <c r="AO14" i="515"/>
  <c r="AO15" i="515"/>
  <c r="AO16" i="515"/>
  <c r="AO17" i="515"/>
  <c r="AO18" i="515"/>
  <c r="AO19" i="515"/>
  <c r="AO20" i="515"/>
  <c r="AO21" i="515"/>
  <c r="AO22" i="515"/>
  <c r="AO23" i="515"/>
  <c r="AO24" i="515"/>
  <c r="AO25" i="515"/>
  <c r="AO26" i="515"/>
  <c r="AO27" i="515"/>
  <c r="AO28" i="515"/>
  <c r="AO29" i="515"/>
  <c r="AO30" i="515"/>
  <c r="AO31" i="515"/>
  <c r="AO32" i="515"/>
  <c r="AO33" i="515"/>
  <c r="AO34" i="515"/>
  <c r="AO35" i="515"/>
  <c r="AO36" i="515"/>
  <c r="AO37" i="515"/>
  <c r="AO38" i="515"/>
  <c r="AO39" i="515"/>
  <c r="AO40" i="515"/>
  <c r="AO41" i="515"/>
  <c r="AO42" i="515"/>
  <c r="AO43" i="515"/>
  <c r="AO44" i="515"/>
  <c r="AO45" i="515"/>
  <c r="AO46" i="515"/>
  <c r="AO47" i="515"/>
  <c r="AO48" i="515"/>
  <c r="AO49" i="515"/>
  <c r="AO50" i="515"/>
  <c r="AO51" i="515"/>
  <c r="AO52" i="515"/>
  <c r="AO53" i="515"/>
  <c r="AO54" i="515"/>
  <c r="AO55" i="515"/>
  <c r="AO56" i="515"/>
  <c r="AO7" i="515"/>
  <c r="AN8" i="515"/>
  <c r="AN9" i="515"/>
  <c r="AN10" i="515"/>
  <c r="AN11" i="515"/>
  <c r="AN12" i="515"/>
  <c r="AN13" i="515"/>
  <c r="AN14" i="515"/>
  <c r="AN15" i="515"/>
  <c r="AN16" i="515"/>
  <c r="AN17" i="515"/>
  <c r="AN18" i="515"/>
  <c r="AN19" i="515"/>
  <c r="AN20" i="515"/>
  <c r="AN21" i="515"/>
  <c r="AN22" i="515"/>
  <c r="AN23" i="515"/>
  <c r="AN24" i="515"/>
  <c r="AN25" i="515"/>
  <c r="AN26" i="515"/>
  <c r="AN27" i="515"/>
  <c r="AN28" i="515"/>
  <c r="AN29" i="515"/>
  <c r="AN30" i="515"/>
  <c r="AN31" i="515"/>
  <c r="AN32" i="515"/>
  <c r="AN33" i="515"/>
  <c r="AN34" i="515"/>
  <c r="AN35" i="515"/>
  <c r="AN36" i="515"/>
  <c r="AN37" i="515"/>
  <c r="AN38" i="515"/>
  <c r="AN39" i="515"/>
  <c r="AN40" i="515"/>
  <c r="AN41" i="515"/>
  <c r="AN42" i="515"/>
  <c r="AN43" i="515"/>
  <c r="AN44" i="515"/>
  <c r="AN45" i="515"/>
  <c r="AN46" i="515"/>
  <c r="AN47" i="515"/>
  <c r="AN48" i="515"/>
  <c r="AN49" i="515"/>
  <c r="AN50" i="515"/>
  <c r="AN51" i="515"/>
  <c r="AN52" i="515"/>
  <c r="AN53" i="515"/>
  <c r="AN54" i="515"/>
  <c r="AN55" i="515"/>
  <c r="AN56" i="515"/>
  <c r="AN7" i="515"/>
  <c r="AM8" i="515"/>
  <c r="AM9" i="515"/>
  <c r="AM10" i="515"/>
  <c r="AM11" i="515"/>
  <c r="AM12" i="515"/>
  <c r="AM13" i="515"/>
  <c r="AM14" i="515"/>
  <c r="AM15" i="515"/>
  <c r="AM16" i="515"/>
  <c r="AM17" i="515"/>
  <c r="AM18" i="515"/>
  <c r="AM19" i="515"/>
  <c r="AM20" i="515"/>
  <c r="AM21" i="515"/>
  <c r="AM22" i="515"/>
  <c r="AM23" i="515"/>
  <c r="AM24" i="515"/>
  <c r="AM25" i="515"/>
  <c r="AM26" i="515"/>
  <c r="AM27" i="515"/>
  <c r="AM28" i="515"/>
  <c r="AM29" i="515"/>
  <c r="AM30" i="515"/>
  <c r="AM31" i="515"/>
  <c r="AM32" i="515"/>
  <c r="AM33" i="515"/>
  <c r="AM34" i="515"/>
  <c r="AM35" i="515"/>
  <c r="AM36" i="515"/>
  <c r="AM37" i="515"/>
  <c r="AM38" i="515"/>
  <c r="AM39" i="515"/>
  <c r="AM40" i="515"/>
  <c r="AM41" i="515"/>
  <c r="AM42" i="515"/>
  <c r="AM43" i="515"/>
  <c r="AM44" i="515"/>
  <c r="AM45" i="515"/>
  <c r="AM46" i="515"/>
  <c r="AM47" i="515"/>
  <c r="AM48" i="515"/>
  <c r="AM49" i="515"/>
  <c r="AM50" i="515"/>
  <c r="AM51" i="515"/>
  <c r="AM52" i="515"/>
  <c r="AM53" i="515"/>
  <c r="AM54" i="515"/>
  <c r="AM55" i="515"/>
  <c r="AM56" i="515"/>
  <c r="AM7" i="515"/>
  <c r="AL9" i="515"/>
  <c r="AL10" i="515"/>
  <c r="AL11" i="515"/>
  <c r="AL12" i="515"/>
  <c r="AL13" i="515"/>
  <c r="AL14" i="515"/>
  <c r="AL15" i="515"/>
  <c r="AL16" i="515"/>
  <c r="AL17" i="515"/>
  <c r="AL18" i="515"/>
  <c r="AL19" i="515"/>
  <c r="AL20" i="515"/>
  <c r="AL21" i="515"/>
  <c r="AL22" i="515"/>
  <c r="AL23" i="515"/>
  <c r="AL24" i="515"/>
  <c r="AL25" i="515"/>
  <c r="AL26" i="515"/>
  <c r="AL27" i="515"/>
  <c r="AL28" i="515"/>
  <c r="AL29" i="515"/>
  <c r="AL30" i="515"/>
  <c r="AL31" i="515"/>
  <c r="AL32" i="515"/>
  <c r="AL33" i="515"/>
  <c r="AL34" i="515"/>
  <c r="AL35" i="515"/>
  <c r="AL36" i="515"/>
  <c r="AL37" i="515"/>
  <c r="AL38" i="515"/>
  <c r="AL39" i="515"/>
  <c r="AL40" i="515"/>
  <c r="AL41" i="515"/>
  <c r="AL42" i="515"/>
  <c r="AL43" i="515"/>
  <c r="AL44" i="515"/>
  <c r="AL45" i="515"/>
  <c r="AL46" i="515"/>
  <c r="AL47" i="515"/>
  <c r="AL48" i="515"/>
  <c r="AL49" i="515"/>
  <c r="AL50" i="515"/>
  <c r="AL51" i="515"/>
  <c r="AL52" i="515"/>
  <c r="AL53" i="515"/>
  <c r="AL54" i="515"/>
  <c r="AL55" i="515"/>
  <c r="AL56" i="515"/>
  <c r="AL8" i="515"/>
  <c r="AL7" i="515"/>
  <c r="AK7" i="515"/>
  <c r="AK10" i="515"/>
  <c r="AK11" i="515"/>
  <c r="AK12" i="515"/>
  <c r="AK13" i="515"/>
  <c r="AK14" i="515"/>
  <c r="AK15" i="515"/>
  <c r="AK16" i="515"/>
  <c r="AK17" i="515"/>
  <c r="AK18" i="515"/>
  <c r="AK19" i="515"/>
  <c r="AK20" i="515"/>
  <c r="AK21" i="515"/>
  <c r="AK22" i="515"/>
  <c r="AK23" i="515"/>
  <c r="AK24" i="515"/>
  <c r="AK25" i="515"/>
  <c r="AK26" i="515"/>
  <c r="AK27" i="515"/>
  <c r="AK28" i="515"/>
  <c r="AK29" i="515"/>
  <c r="AK30" i="515"/>
  <c r="AK31" i="515"/>
  <c r="AK32" i="515"/>
  <c r="AK33" i="515"/>
  <c r="AK34" i="515"/>
  <c r="AK35" i="515"/>
  <c r="AK36" i="515"/>
  <c r="AK37" i="515"/>
  <c r="AK38" i="515"/>
  <c r="AK39" i="515"/>
  <c r="AK40" i="515"/>
  <c r="AK41" i="515"/>
  <c r="AK42" i="515"/>
  <c r="AK43" i="515"/>
  <c r="AK44" i="515"/>
  <c r="AK45" i="515"/>
  <c r="AK46" i="515"/>
  <c r="AK47" i="515"/>
  <c r="AK48" i="515"/>
  <c r="AK49" i="515"/>
  <c r="AK50" i="515"/>
  <c r="AK51" i="515"/>
  <c r="AK52" i="515"/>
  <c r="AK53" i="515"/>
  <c r="AK54" i="515"/>
  <c r="AK55" i="515"/>
  <c r="AK56" i="515"/>
  <c r="AK9" i="515"/>
  <c r="AK8" i="515"/>
  <c r="J83" i="3" l="1"/>
  <c r="J390" i="3"/>
  <c r="J82" i="3"/>
  <c r="J143" i="3"/>
  <c r="K251" i="3"/>
  <c r="J392" i="3"/>
  <c r="K311" i="3"/>
  <c r="K23" i="3"/>
  <c r="AN57" i="515"/>
  <c r="AO57" i="515"/>
  <c r="AL57" i="515"/>
  <c r="AM57" i="515"/>
  <c r="AK57" i="515"/>
  <c r="J440" i="3" l="1"/>
  <c r="K440" i="3"/>
  <c r="J437" i="3"/>
  <c r="J435" i="3"/>
  <c r="J433" i="3"/>
  <c r="J431" i="3"/>
  <c r="J428" i="3"/>
  <c r="J426" i="3"/>
  <c r="J424" i="3"/>
  <c r="J421" i="3"/>
  <c r="J419" i="3"/>
  <c r="J417" i="3"/>
  <c r="K417" i="3"/>
  <c r="J415" i="3"/>
  <c r="J413" i="3"/>
  <c r="K413" i="3"/>
  <c r="J411" i="3"/>
  <c r="K411" i="3"/>
  <c r="J409" i="3"/>
  <c r="J407" i="3"/>
  <c r="J405" i="3"/>
  <c r="J403" i="3"/>
  <c r="J401" i="3"/>
  <c r="J399" i="3"/>
  <c r="J397" i="3"/>
  <c r="J395" i="3"/>
  <c r="J393" i="3"/>
  <c r="K393" i="3"/>
  <c r="J389" i="3"/>
  <c r="J387" i="3"/>
  <c r="J385" i="3"/>
  <c r="J383" i="3"/>
  <c r="J381" i="3"/>
  <c r="J379" i="3"/>
  <c r="J377" i="3"/>
  <c r="J375" i="3"/>
  <c r="J373" i="3"/>
  <c r="J369" i="3"/>
  <c r="J366" i="3"/>
  <c r="K366" i="3"/>
  <c r="J364" i="3"/>
  <c r="K364" i="3"/>
  <c r="J362" i="3"/>
  <c r="K362" i="3"/>
  <c r="J357" i="3"/>
  <c r="J354" i="3"/>
  <c r="K354" i="3"/>
  <c r="J352" i="3"/>
  <c r="J350" i="3"/>
  <c r="K347" i="3"/>
  <c r="J347" i="3"/>
  <c r="J345" i="3"/>
  <c r="J342" i="3"/>
  <c r="J340" i="3"/>
  <c r="K340" i="3"/>
  <c r="J338" i="3"/>
  <c r="K338" i="3"/>
  <c r="K336" i="3"/>
  <c r="J336" i="3"/>
  <c r="J334" i="3"/>
  <c r="J332" i="3"/>
  <c r="J329" i="3"/>
  <c r="J327" i="3"/>
  <c r="J325" i="3"/>
  <c r="K325" i="3"/>
  <c r="J323" i="3"/>
  <c r="K323" i="3"/>
  <c r="J321" i="3"/>
  <c r="J319" i="3"/>
  <c r="K319" i="3"/>
  <c r="J317" i="3"/>
  <c r="J315" i="3"/>
  <c r="J313" i="3"/>
  <c r="J310" i="3"/>
  <c r="K310" i="3"/>
  <c r="K308" i="3"/>
  <c r="J308" i="3"/>
  <c r="J306" i="3"/>
  <c r="J304" i="3"/>
  <c r="J302" i="3"/>
  <c r="J300" i="3"/>
  <c r="K298" i="3"/>
  <c r="J298" i="3"/>
  <c r="K296" i="3"/>
  <c r="J296" i="3"/>
  <c r="J293" i="3"/>
  <c r="J291" i="3"/>
  <c r="K289" i="3"/>
  <c r="J289" i="3"/>
  <c r="J287" i="3"/>
  <c r="K285" i="3"/>
  <c r="J285" i="3"/>
  <c r="J283" i="3"/>
  <c r="J281" i="3"/>
  <c r="J279" i="3"/>
  <c r="J277" i="3"/>
  <c r="J275" i="3"/>
  <c r="J273" i="3"/>
  <c r="J271" i="3"/>
  <c r="J269" i="3"/>
  <c r="J267" i="3"/>
  <c r="J265" i="3"/>
  <c r="J263" i="3"/>
  <c r="J261" i="3"/>
  <c r="J259" i="3"/>
  <c r="J256" i="3"/>
  <c r="J254" i="3"/>
  <c r="K252" i="3"/>
  <c r="J252" i="3"/>
  <c r="K248" i="3"/>
  <c r="J248" i="3"/>
  <c r="J246" i="3"/>
  <c r="J244" i="3"/>
  <c r="J242" i="3"/>
  <c r="J240" i="3"/>
  <c r="J237" i="3"/>
  <c r="K237" i="3"/>
  <c r="J235" i="3"/>
  <c r="K235" i="3"/>
  <c r="J233" i="3"/>
  <c r="J231" i="3"/>
  <c r="K231" i="3"/>
  <c r="J229" i="3"/>
  <c r="K227" i="3"/>
  <c r="J227" i="3"/>
  <c r="J225" i="3"/>
  <c r="J223" i="3"/>
  <c r="J221" i="3"/>
  <c r="J219" i="3"/>
  <c r="J216" i="3"/>
  <c r="J214" i="3"/>
  <c r="J212" i="3"/>
  <c r="J210" i="3"/>
  <c r="J208" i="3"/>
  <c r="J202" i="3"/>
  <c r="J200" i="3"/>
  <c r="J198" i="3"/>
  <c r="J196" i="3"/>
  <c r="J193" i="3"/>
  <c r="J191" i="3"/>
  <c r="J189" i="3"/>
  <c r="J187" i="3"/>
  <c r="K187" i="3"/>
  <c r="K185" i="3"/>
  <c r="J185" i="3"/>
  <c r="J183" i="3"/>
  <c r="K181" i="3"/>
  <c r="J181" i="3"/>
  <c r="J178" i="3"/>
  <c r="J176" i="3"/>
  <c r="J174" i="3"/>
  <c r="K174" i="3"/>
  <c r="J172" i="3"/>
  <c r="K172" i="3"/>
  <c r="J167" i="3"/>
  <c r="J165" i="3"/>
  <c r="K165" i="3"/>
  <c r="J163" i="3"/>
  <c r="J160" i="3"/>
  <c r="K160" i="3"/>
  <c r="J158" i="3"/>
  <c r="K154" i="3"/>
  <c r="J154" i="3"/>
  <c r="K152" i="3"/>
  <c r="J152" i="3"/>
  <c r="J150" i="3"/>
  <c r="K148" i="3"/>
  <c r="J148" i="3"/>
  <c r="K142" i="3"/>
  <c r="J142" i="3"/>
  <c r="J140" i="3"/>
  <c r="J138" i="3"/>
  <c r="J136" i="3"/>
  <c r="K134" i="3"/>
  <c r="J134" i="3"/>
  <c r="J132" i="3"/>
  <c r="J130" i="3"/>
  <c r="K128" i="3"/>
  <c r="J128" i="3"/>
  <c r="J125" i="3"/>
  <c r="K125" i="3"/>
  <c r="J122" i="3"/>
  <c r="K120" i="3"/>
  <c r="J120" i="3"/>
  <c r="K118" i="3"/>
  <c r="J118" i="3"/>
  <c r="K115" i="3"/>
  <c r="J115" i="3"/>
  <c r="J112" i="3"/>
  <c r="K108" i="3"/>
  <c r="J108" i="3"/>
  <c r="J106" i="3"/>
  <c r="J103" i="3"/>
  <c r="K103" i="3"/>
  <c r="J101" i="3"/>
  <c r="J99" i="3"/>
  <c r="K99" i="3"/>
  <c r="J96" i="3"/>
  <c r="K94" i="3"/>
  <c r="J94" i="3"/>
  <c r="J19" i="3"/>
  <c r="K19" i="3"/>
  <c r="J8" i="3"/>
  <c r="K8" i="3"/>
  <c r="J441" i="3"/>
  <c r="J438" i="3"/>
  <c r="J436" i="3"/>
  <c r="K436" i="3"/>
  <c r="J434" i="3"/>
  <c r="J432" i="3"/>
  <c r="J429" i="3"/>
  <c r="J427" i="3"/>
  <c r="J425" i="3"/>
  <c r="K422" i="3"/>
  <c r="J422" i="3"/>
  <c r="J420" i="3"/>
  <c r="K418" i="3"/>
  <c r="J418" i="3"/>
  <c r="J416" i="3"/>
  <c r="K414" i="3"/>
  <c r="J414" i="3"/>
  <c r="J412" i="3"/>
  <c r="K410" i="3"/>
  <c r="J410" i="3"/>
  <c r="J408" i="3"/>
  <c r="J406" i="3"/>
  <c r="J404" i="3"/>
  <c r="J402" i="3"/>
  <c r="K400" i="3"/>
  <c r="J400" i="3"/>
  <c r="J398" i="3"/>
  <c r="K396" i="3"/>
  <c r="J396" i="3"/>
  <c r="K394" i="3"/>
  <c r="J394" i="3"/>
  <c r="J391" i="3"/>
  <c r="J388" i="3"/>
  <c r="J386" i="3"/>
  <c r="K384" i="3"/>
  <c r="J384" i="3"/>
  <c r="J382" i="3"/>
  <c r="J380" i="3"/>
  <c r="J378" i="3"/>
  <c r="J376" i="3"/>
  <c r="J374" i="3"/>
  <c r="J371" i="3"/>
  <c r="J368" i="3"/>
  <c r="K368" i="3"/>
  <c r="J365" i="3"/>
  <c r="K363" i="3"/>
  <c r="J363" i="3"/>
  <c r="J359" i="3"/>
  <c r="K355" i="3"/>
  <c r="J355" i="3"/>
  <c r="K353" i="3"/>
  <c r="J353" i="3"/>
  <c r="K351" i="3"/>
  <c r="J351" i="3"/>
  <c r="K349" i="3"/>
  <c r="J349" i="3"/>
  <c r="J346" i="3"/>
  <c r="K346" i="3"/>
  <c r="J344" i="3"/>
  <c r="K344" i="3"/>
  <c r="K341" i="3"/>
  <c r="J341" i="3"/>
  <c r="K339" i="3"/>
  <c r="J339" i="3"/>
  <c r="K337" i="3"/>
  <c r="J337" i="3"/>
  <c r="J335" i="3"/>
  <c r="J333" i="3"/>
  <c r="K333" i="3"/>
  <c r="J330" i="3"/>
  <c r="J328" i="3"/>
  <c r="J326" i="3"/>
  <c r="K326" i="3"/>
  <c r="J324" i="3"/>
  <c r="K324" i="3"/>
  <c r="J322" i="3"/>
  <c r="J320" i="3"/>
  <c r="J318" i="3"/>
  <c r="J316" i="3"/>
  <c r="J314" i="3"/>
  <c r="K314" i="3"/>
  <c r="J312" i="3"/>
  <c r="J309" i="3"/>
  <c r="K309" i="3"/>
  <c r="J307" i="3"/>
  <c r="J305" i="3"/>
  <c r="K305" i="3"/>
  <c r="J303" i="3"/>
  <c r="J301" i="3"/>
  <c r="J299" i="3"/>
  <c r="K299" i="3"/>
  <c r="J297" i="3"/>
  <c r="K297" i="3"/>
  <c r="J295" i="3"/>
  <c r="J292" i="3"/>
  <c r="K292" i="3"/>
  <c r="J290" i="3"/>
  <c r="K290" i="3"/>
  <c r="J288" i="3"/>
  <c r="J286" i="3"/>
  <c r="K286" i="3"/>
  <c r="J284" i="3"/>
  <c r="K284" i="3"/>
  <c r="J282" i="3"/>
  <c r="K282" i="3"/>
  <c r="J280" i="3"/>
  <c r="J278" i="3"/>
  <c r="K278" i="3"/>
  <c r="J276" i="3"/>
  <c r="K274" i="3"/>
  <c r="J274" i="3"/>
  <c r="J272" i="3"/>
  <c r="J270" i="3"/>
  <c r="J268" i="3"/>
  <c r="J266" i="3"/>
  <c r="K264" i="3"/>
  <c r="J264" i="3"/>
  <c r="K262" i="3"/>
  <c r="J262" i="3"/>
  <c r="J260" i="3"/>
  <c r="J258" i="3"/>
  <c r="J255" i="3"/>
  <c r="J253" i="3"/>
  <c r="J250" i="3"/>
  <c r="J247" i="3"/>
  <c r="K247" i="3"/>
  <c r="J245" i="3"/>
  <c r="K245" i="3"/>
  <c r="J243" i="3"/>
  <c r="J241" i="3"/>
  <c r="J239" i="3"/>
  <c r="J236" i="3"/>
  <c r="K234" i="3"/>
  <c r="J234" i="3"/>
  <c r="J232" i="3"/>
  <c r="J230" i="3"/>
  <c r="K230" i="3"/>
  <c r="J228" i="3"/>
  <c r="K228" i="3"/>
  <c r="J226" i="3"/>
  <c r="J224" i="3"/>
  <c r="J222" i="3"/>
  <c r="J220" i="3"/>
  <c r="J218" i="3"/>
  <c r="J215" i="3"/>
  <c r="K213" i="3"/>
  <c r="J213" i="3"/>
  <c r="K211" i="3"/>
  <c r="J211" i="3"/>
  <c r="J209" i="3"/>
  <c r="J203" i="3"/>
  <c r="J201" i="3"/>
  <c r="J199" i="3"/>
  <c r="K197" i="3"/>
  <c r="J197" i="3"/>
  <c r="J195" i="3"/>
  <c r="J192" i="3"/>
  <c r="J190" i="3"/>
  <c r="J188" i="3"/>
  <c r="K188" i="3"/>
  <c r="J186" i="3"/>
  <c r="J184" i="3"/>
  <c r="J182" i="3"/>
  <c r="K179" i="3"/>
  <c r="J179" i="3"/>
  <c r="J177" i="3"/>
  <c r="J175" i="3"/>
  <c r="J173" i="3"/>
  <c r="K173" i="3"/>
  <c r="J169" i="3"/>
  <c r="J166" i="3"/>
  <c r="K164" i="3"/>
  <c r="J164" i="3"/>
  <c r="K162" i="3"/>
  <c r="J162" i="3"/>
  <c r="K159" i="3"/>
  <c r="J159" i="3"/>
  <c r="J155" i="3"/>
  <c r="J153" i="3"/>
  <c r="K151" i="3"/>
  <c r="J151" i="3"/>
  <c r="J149" i="3"/>
  <c r="J145" i="3"/>
  <c r="K145" i="3"/>
  <c r="J141" i="3"/>
  <c r="J139" i="3"/>
  <c r="K137" i="3"/>
  <c r="J137" i="3"/>
  <c r="K135" i="3"/>
  <c r="J135" i="3"/>
  <c r="K133" i="3"/>
  <c r="J133" i="3"/>
  <c r="K131" i="3"/>
  <c r="J131" i="3"/>
  <c r="J129" i="3"/>
  <c r="J127" i="3"/>
  <c r="K127" i="3"/>
  <c r="J123" i="3"/>
  <c r="J121" i="3"/>
  <c r="J119" i="3"/>
  <c r="J116" i="3"/>
  <c r="K116" i="3"/>
  <c r="K114" i="3"/>
  <c r="J114" i="3"/>
  <c r="J110" i="3"/>
  <c r="J107" i="3"/>
  <c r="J105" i="3"/>
  <c r="J102" i="3"/>
  <c r="K100" i="3"/>
  <c r="J100" i="3"/>
  <c r="J98" i="3"/>
  <c r="J95" i="3"/>
  <c r="K95" i="3"/>
  <c r="J93" i="3"/>
  <c r="K93" i="3"/>
  <c r="K15" i="3"/>
  <c r="J15" i="3"/>
  <c r="K167" i="3"/>
  <c r="K166" i="3"/>
  <c r="K163" i="3"/>
  <c r="K158" i="3"/>
  <c r="K155" i="3"/>
  <c r="K153" i="3"/>
  <c r="K150" i="3"/>
  <c r="K149" i="3"/>
  <c r="K147" i="3"/>
  <c r="K146" i="3"/>
  <c r="K143" i="3"/>
  <c r="K141" i="3"/>
  <c r="K140" i="3"/>
  <c r="K139" i="3"/>
  <c r="K138" i="3"/>
  <c r="K136" i="3"/>
  <c r="K432" i="3"/>
  <c r="K431" i="3"/>
  <c r="K433" i="3"/>
  <c r="K434" i="3"/>
  <c r="K435" i="3"/>
  <c r="K437" i="3"/>
  <c r="K438" i="3"/>
  <c r="K409" i="3"/>
  <c r="K412" i="3"/>
  <c r="K415" i="3"/>
  <c r="K416" i="3"/>
  <c r="K419" i="3"/>
  <c r="K420" i="3"/>
  <c r="K246" i="3"/>
  <c r="K244" i="3"/>
  <c r="K243" i="3"/>
  <c r="K242" i="3"/>
  <c r="K265" i="3"/>
  <c r="K263" i="3"/>
  <c r="K261" i="3"/>
  <c r="K260" i="3"/>
  <c r="K259" i="3"/>
  <c r="K258" i="3"/>
  <c r="K257" i="3"/>
  <c r="K256" i="3"/>
  <c r="K255" i="3"/>
  <c r="K254" i="3"/>
  <c r="K253" i="3"/>
  <c r="K250" i="3"/>
  <c r="K307" i="3"/>
  <c r="K306" i="3"/>
  <c r="K304" i="3"/>
  <c r="K303" i="3"/>
  <c r="K302" i="3"/>
  <c r="K301" i="3"/>
  <c r="K300" i="3"/>
  <c r="K295" i="3"/>
  <c r="K293" i="3"/>
  <c r="K291" i="3"/>
  <c r="K288" i="3"/>
  <c r="K287" i="3"/>
  <c r="K283" i="3"/>
  <c r="K281" i="3"/>
  <c r="K280" i="3"/>
  <c r="K279" i="3"/>
  <c r="K277" i="3"/>
  <c r="K276" i="3"/>
  <c r="K275" i="3"/>
  <c r="K273" i="3"/>
  <c r="K272" i="3"/>
  <c r="K271" i="3"/>
  <c r="K270" i="3"/>
  <c r="K269" i="3"/>
  <c r="K268" i="3"/>
  <c r="K267" i="3"/>
  <c r="K266" i="3"/>
  <c r="K233" i="3"/>
  <c r="K232" i="3"/>
  <c r="K236" i="3"/>
  <c r="K239" i="3"/>
  <c r="K240" i="3"/>
  <c r="K229" i="3"/>
  <c r="K186" i="3"/>
  <c r="K196" i="3"/>
  <c r="K195" i="3"/>
  <c r="K198" i="3"/>
  <c r="K199" i="3"/>
  <c r="K200" i="3"/>
  <c r="K201" i="3"/>
  <c r="K202" i="3"/>
  <c r="K203" i="3"/>
  <c r="AF56" i="515" l="1"/>
  <c r="K441" i="3"/>
  <c r="K429" i="3"/>
  <c r="K428" i="3"/>
  <c r="K427" i="3"/>
  <c r="K426" i="3"/>
  <c r="K425" i="3"/>
  <c r="K424" i="3"/>
  <c r="K421" i="3"/>
  <c r="K408" i="3"/>
  <c r="K407" i="3"/>
  <c r="K406" i="3"/>
  <c r="K405" i="3"/>
  <c r="K404" i="3"/>
  <c r="K403" i="3"/>
  <c r="K402" i="3"/>
  <c r="K401" i="3"/>
  <c r="K399" i="3"/>
  <c r="K398" i="3"/>
  <c r="K397" i="3"/>
  <c r="K395" i="3"/>
  <c r="K392" i="3"/>
  <c r="K391" i="3"/>
  <c r="K389" i="3"/>
  <c r="K388" i="3"/>
  <c r="K387" i="3"/>
  <c r="K386" i="3"/>
  <c r="K385" i="3"/>
  <c r="K383" i="3"/>
  <c r="K382" i="3"/>
  <c r="K381" i="3"/>
  <c r="K380" i="3"/>
  <c r="K379" i="3"/>
  <c r="K378" i="3"/>
  <c r="K377" i="3"/>
  <c r="K376" i="3"/>
  <c r="K375" i="3"/>
  <c r="K374" i="3"/>
  <c r="K373" i="3"/>
  <c r="K371" i="3"/>
  <c r="K369" i="3"/>
  <c r="K365" i="3"/>
  <c r="K359" i="3"/>
  <c r="K357" i="3"/>
  <c r="K352" i="3"/>
  <c r="K350" i="3"/>
  <c r="K345" i="3"/>
  <c r="K342" i="3"/>
  <c r="K335" i="3"/>
  <c r="K334" i="3"/>
  <c r="K332" i="3"/>
  <c r="K330" i="3"/>
  <c r="K329" i="3"/>
  <c r="K328" i="3"/>
  <c r="K327" i="3"/>
  <c r="K322" i="3"/>
  <c r="K321" i="3"/>
  <c r="K320" i="3"/>
  <c r="K318" i="3"/>
  <c r="K317" i="3"/>
  <c r="K316" i="3"/>
  <c r="K315" i="3"/>
  <c r="K313" i="3"/>
  <c r="K312" i="3"/>
  <c r="K241" i="3"/>
  <c r="K226" i="3"/>
  <c r="K225" i="3"/>
  <c r="K224" i="3"/>
  <c r="K223" i="3"/>
  <c r="K222" i="3"/>
  <c r="K221" i="3"/>
  <c r="K220" i="3"/>
  <c r="K219" i="3"/>
  <c r="K218" i="3"/>
  <c r="K216" i="3"/>
  <c r="K215" i="3"/>
  <c r="K214" i="3"/>
  <c r="K212" i="3"/>
  <c r="K210" i="3"/>
  <c r="K209" i="3"/>
  <c r="K208" i="3"/>
  <c r="K194" i="3"/>
  <c r="K193" i="3"/>
  <c r="K192" i="3"/>
  <c r="K191" i="3"/>
  <c r="K190" i="3"/>
  <c r="K189" i="3"/>
  <c r="K184" i="3"/>
  <c r="K183" i="3"/>
  <c r="K182" i="3"/>
  <c r="K178" i="3"/>
  <c r="K177" i="3"/>
  <c r="K176" i="3"/>
  <c r="K175" i="3"/>
  <c r="K169" i="3"/>
  <c r="K132" i="3"/>
  <c r="K130" i="3"/>
  <c r="K129" i="3"/>
  <c r="K123" i="3"/>
  <c r="K122" i="3"/>
  <c r="K121" i="3"/>
  <c r="K119" i="3"/>
  <c r="K112" i="3"/>
  <c r="K110" i="3"/>
  <c r="K107" i="3"/>
  <c r="K106" i="3"/>
  <c r="K105" i="3"/>
  <c r="K102" i="3"/>
  <c r="K101" i="3"/>
  <c r="K98" i="3"/>
  <c r="K96" i="3"/>
  <c r="X7" i="3"/>
  <c r="AA7" i="3"/>
  <c r="X8" i="3"/>
  <c r="AA8" i="3"/>
  <c r="X9" i="3"/>
  <c r="AA9" i="3"/>
  <c r="X10" i="3"/>
  <c r="AA10" i="3"/>
  <c r="X11" i="3"/>
  <c r="AA11" i="3"/>
  <c r="X12" i="3"/>
  <c r="AA12" i="3"/>
  <c r="X13" i="3"/>
  <c r="AA13" i="3"/>
  <c r="X14" i="3"/>
  <c r="AA14" i="3"/>
  <c r="X15" i="3"/>
  <c r="AA15" i="3"/>
  <c r="X16" i="3"/>
  <c r="AA16" i="3"/>
  <c r="X17" i="3"/>
  <c r="AA17" i="3"/>
  <c r="X18" i="3"/>
  <c r="AA18" i="3"/>
  <c r="X19" i="3"/>
  <c r="AA19" i="3"/>
  <c r="X20" i="3"/>
  <c r="AA20" i="3"/>
  <c r="X21" i="3"/>
  <c r="AA21" i="3"/>
  <c r="X22" i="3"/>
  <c r="AA22" i="3"/>
  <c r="X23" i="3"/>
  <c r="AA23" i="3"/>
  <c r="X24" i="3"/>
  <c r="AA24" i="3"/>
  <c r="X25" i="3"/>
  <c r="AA25" i="3"/>
  <c r="X26" i="3"/>
  <c r="AA26" i="3"/>
  <c r="X27" i="3"/>
  <c r="AA27" i="3"/>
  <c r="X28" i="3"/>
  <c r="AA28" i="3"/>
  <c r="X29" i="3"/>
  <c r="AA29" i="3"/>
  <c r="X30" i="3"/>
  <c r="AA30" i="3"/>
  <c r="X31" i="3"/>
  <c r="AA31" i="3"/>
  <c r="X32" i="3"/>
  <c r="AA32" i="3"/>
  <c r="X33" i="3"/>
  <c r="AA33" i="3"/>
  <c r="X34" i="3"/>
  <c r="AA34" i="3"/>
  <c r="X35" i="3"/>
  <c r="AA35" i="3"/>
  <c r="X36" i="3"/>
  <c r="AA36" i="3"/>
  <c r="X37" i="3"/>
  <c r="AA37" i="3"/>
  <c r="X38" i="3"/>
  <c r="AA38" i="3"/>
  <c r="X39" i="3"/>
  <c r="AA39" i="3"/>
  <c r="X40" i="3"/>
  <c r="AA40" i="3"/>
  <c r="X41" i="3"/>
  <c r="AA41" i="3"/>
  <c r="X42" i="3"/>
  <c r="AA42" i="3"/>
  <c r="X43" i="3"/>
  <c r="AA43" i="3"/>
  <c r="X44" i="3"/>
  <c r="AA44" i="3"/>
  <c r="X45" i="3"/>
  <c r="AA45" i="3"/>
  <c r="X46" i="3"/>
  <c r="AA46" i="3"/>
  <c r="X47" i="3"/>
  <c r="AA47" i="3"/>
  <c r="X48" i="3"/>
  <c r="AA48" i="3"/>
  <c r="X49" i="3"/>
  <c r="AA49" i="3"/>
  <c r="X50" i="3"/>
  <c r="AA50" i="3"/>
  <c r="X51" i="3"/>
  <c r="AA51" i="3"/>
  <c r="X52" i="3"/>
  <c r="AA52" i="3"/>
  <c r="X53" i="3"/>
  <c r="AA53" i="3"/>
  <c r="X54" i="3"/>
  <c r="AA54" i="3"/>
  <c r="X55" i="3"/>
  <c r="AA55" i="3"/>
  <c r="X56" i="3"/>
  <c r="AA56" i="3"/>
  <c r="X57" i="3"/>
  <c r="AA57" i="3"/>
  <c r="X58" i="3"/>
  <c r="AA58" i="3"/>
  <c r="X59" i="3"/>
  <c r="AA59" i="3"/>
  <c r="X60" i="3"/>
  <c r="AA60" i="3"/>
  <c r="X61" i="3"/>
  <c r="AA61" i="3"/>
  <c r="X62" i="3"/>
  <c r="AA62" i="3"/>
  <c r="X63" i="3"/>
  <c r="AA63" i="3"/>
  <c r="X64" i="3"/>
  <c r="AA64" i="3"/>
  <c r="X65" i="3"/>
  <c r="AA65" i="3"/>
  <c r="X66" i="3"/>
  <c r="AA66" i="3"/>
  <c r="X67" i="3"/>
  <c r="AA67" i="3"/>
  <c r="X68" i="3"/>
  <c r="AA68" i="3"/>
  <c r="X69" i="3"/>
  <c r="AA69" i="3"/>
  <c r="X70" i="3"/>
  <c r="AA70" i="3"/>
  <c r="X71" i="3"/>
  <c r="AA71" i="3"/>
  <c r="X72" i="3"/>
  <c r="AA72" i="3"/>
  <c r="X73" i="3"/>
  <c r="AA73" i="3"/>
  <c r="X74" i="3"/>
  <c r="AA74" i="3"/>
  <c r="X75" i="3"/>
  <c r="AA75" i="3"/>
  <c r="X76" i="3"/>
  <c r="AA76" i="3"/>
  <c r="X77" i="3"/>
  <c r="AA77" i="3"/>
  <c r="X78" i="3"/>
  <c r="AA78" i="3"/>
  <c r="X79" i="3"/>
  <c r="AA79" i="3"/>
  <c r="X80" i="3"/>
  <c r="AA80" i="3"/>
  <c r="X81" i="3"/>
  <c r="AA81" i="3"/>
  <c r="X82" i="3"/>
  <c r="AA82" i="3"/>
  <c r="X83" i="3"/>
  <c r="AA83" i="3"/>
  <c r="X84" i="3"/>
  <c r="AA84" i="3"/>
  <c r="X85" i="3"/>
  <c r="AA85" i="3"/>
  <c r="X86" i="3"/>
  <c r="AA86" i="3"/>
  <c r="X87" i="3"/>
  <c r="AA87" i="3"/>
  <c r="X88" i="3"/>
  <c r="AA88" i="3"/>
  <c r="X89" i="3"/>
  <c r="AA89" i="3"/>
  <c r="X90" i="3"/>
  <c r="AA90" i="3"/>
  <c r="X91" i="3"/>
  <c r="AA91" i="3"/>
  <c r="X92" i="3"/>
  <c r="AA92" i="3"/>
  <c r="X93" i="3"/>
  <c r="AA93" i="3"/>
  <c r="X94" i="3"/>
  <c r="AA94" i="3"/>
  <c r="X95" i="3"/>
  <c r="AA95" i="3"/>
  <c r="X96" i="3"/>
  <c r="AA96" i="3"/>
  <c r="X97" i="3"/>
  <c r="AA97" i="3"/>
  <c r="X98" i="3"/>
  <c r="AA98" i="3"/>
  <c r="X99" i="3"/>
  <c r="AA99" i="3"/>
  <c r="X100" i="3"/>
  <c r="AA100" i="3"/>
  <c r="X101" i="3"/>
  <c r="AA101" i="3"/>
  <c r="X102" i="3"/>
  <c r="AA102" i="3"/>
  <c r="X103" i="3"/>
  <c r="AA103" i="3"/>
  <c r="X104" i="3"/>
  <c r="AA104" i="3"/>
  <c r="X105" i="3"/>
  <c r="AA105" i="3"/>
  <c r="X106" i="3"/>
  <c r="AA106" i="3"/>
  <c r="X107" i="3"/>
  <c r="AA107" i="3"/>
  <c r="X108" i="3"/>
  <c r="AA108" i="3"/>
  <c r="X109" i="3"/>
  <c r="AA109" i="3"/>
  <c r="X110" i="3"/>
  <c r="AA110" i="3"/>
  <c r="X111" i="3"/>
  <c r="AA111" i="3"/>
  <c r="X112" i="3"/>
  <c r="AA112" i="3"/>
  <c r="X113" i="3"/>
  <c r="AA113" i="3"/>
  <c r="X114" i="3"/>
  <c r="AA114" i="3"/>
  <c r="X115" i="3"/>
  <c r="AA115" i="3"/>
  <c r="X116" i="3"/>
  <c r="AA116" i="3"/>
  <c r="X117" i="3"/>
  <c r="AA117" i="3"/>
  <c r="X118" i="3"/>
  <c r="AA118" i="3"/>
  <c r="X119" i="3"/>
  <c r="AA119" i="3"/>
  <c r="X120" i="3"/>
  <c r="AA120" i="3"/>
  <c r="X121" i="3"/>
  <c r="AA121" i="3"/>
  <c r="X122" i="3"/>
  <c r="AA122" i="3"/>
  <c r="X123" i="3"/>
  <c r="AA123" i="3"/>
  <c r="X124" i="3"/>
  <c r="AA124" i="3"/>
  <c r="X125" i="3"/>
  <c r="AA125" i="3"/>
  <c r="X126" i="3"/>
  <c r="AA126" i="3"/>
  <c r="X127" i="3"/>
  <c r="AA127" i="3"/>
  <c r="X128" i="3"/>
  <c r="AA128" i="3"/>
  <c r="X129" i="3"/>
  <c r="AA129" i="3"/>
  <c r="X130" i="3"/>
  <c r="AA130" i="3"/>
  <c r="X131" i="3"/>
  <c r="AA131" i="3"/>
  <c r="X132" i="3"/>
  <c r="AA132" i="3"/>
  <c r="X133" i="3"/>
  <c r="AA133" i="3"/>
  <c r="X134" i="3"/>
  <c r="AA134" i="3"/>
  <c r="X135" i="3"/>
  <c r="AA135" i="3"/>
  <c r="X136" i="3"/>
  <c r="AA136" i="3"/>
  <c r="X137" i="3"/>
  <c r="AA137" i="3"/>
  <c r="X138" i="3"/>
  <c r="AA138" i="3"/>
  <c r="X139" i="3"/>
  <c r="AA139" i="3"/>
  <c r="X140" i="3"/>
  <c r="AA140" i="3"/>
  <c r="X141" i="3"/>
  <c r="AA141" i="3"/>
  <c r="X142" i="3"/>
  <c r="AA142" i="3"/>
  <c r="X143" i="3"/>
  <c r="AA143" i="3"/>
  <c r="X144" i="3"/>
  <c r="AA144" i="3"/>
  <c r="X145" i="3"/>
  <c r="AA145" i="3"/>
  <c r="X146" i="3"/>
  <c r="AA146" i="3"/>
  <c r="X147" i="3"/>
  <c r="AA147" i="3"/>
  <c r="X148" i="3"/>
  <c r="AA148" i="3"/>
  <c r="X149" i="3"/>
  <c r="AA149" i="3"/>
  <c r="X150" i="3"/>
  <c r="AA150" i="3"/>
  <c r="X151" i="3"/>
  <c r="AA151" i="3"/>
  <c r="X152" i="3"/>
  <c r="AA152" i="3"/>
  <c r="X153" i="3"/>
  <c r="AA153" i="3"/>
  <c r="X154" i="3"/>
  <c r="AA154" i="3"/>
  <c r="X155" i="3"/>
  <c r="AA155" i="3"/>
  <c r="X156" i="3"/>
  <c r="AA156" i="3"/>
  <c r="X157" i="3"/>
  <c r="AA157" i="3"/>
  <c r="X158" i="3"/>
  <c r="AA158" i="3"/>
  <c r="X159" i="3"/>
  <c r="AA159" i="3"/>
  <c r="X160" i="3"/>
  <c r="AA160" i="3"/>
  <c r="X161" i="3"/>
  <c r="AA161" i="3"/>
  <c r="X162" i="3"/>
  <c r="AA162" i="3"/>
  <c r="X163" i="3"/>
  <c r="AA163" i="3"/>
  <c r="X164" i="3"/>
  <c r="AA164" i="3"/>
  <c r="X165" i="3"/>
  <c r="AA165" i="3"/>
  <c r="X166" i="3"/>
  <c r="AA166" i="3"/>
  <c r="X167" i="3"/>
  <c r="AA167" i="3"/>
  <c r="X168" i="3"/>
  <c r="AA168" i="3"/>
  <c r="X169" i="3"/>
  <c r="AA169" i="3"/>
  <c r="X170" i="3"/>
  <c r="AA170" i="3"/>
  <c r="X171" i="3"/>
  <c r="AA171" i="3"/>
  <c r="X172" i="3"/>
  <c r="AA172" i="3"/>
  <c r="X173" i="3"/>
  <c r="AA173" i="3"/>
  <c r="X174" i="3"/>
  <c r="AA174" i="3"/>
  <c r="X175" i="3"/>
  <c r="AA175" i="3"/>
  <c r="X176" i="3"/>
  <c r="AA176" i="3"/>
  <c r="X177" i="3"/>
  <c r="AA177" i="3"/>
  <c r="X178" i="3"/>
  <c r="U179" i="3"/>
  <c r="X179" i="3"/>
  <c r="X180" i="3"/>
  <c r="U181" i="3"/>
  <c r="X181" i="3"/>
  <c r="X182" i="3"/>
  <c r="X183" i="3"/>
  <c r="X184" i="3"/>
  <c r="X185" i="3"/>
  <c r="AA185" i="3"/>
  <c r="X186" i="3"/>
  <c r="AA186" i="3"/>
  <c r="X187" i="3"/>
  <c r="AA187" i="3"/>
  <c r="X188" i="3"/>
  <c r="AA188" i="3"/>
  <c r="X189" i="3"/>
  <c r="AA189" i="3"/>
  <c r="X190" i="3"/>
  <c r="AA190" i="3"/>
  <c r="X191" i="3"/>
  <c r="AA191" i="3"/>
  <c r="X192" i="3"/>
  <c r="AA192" i="3"/>
  <c r="X193" i="3"/>
  <c r="AA193" i="3"/>
  <c r="X194" i="3"/>
  <c r="AA194" i="3"/>
  <c r="X195" i="3"/>
  <c r="AA195" i="3"/>
  <c r="X196" i="3"/>
  <c r="AA196" i="3"/>
  <c r="X197" i="3"/>
  <c r="AA197" i="3"/>
  <c r="X198" i="3"/>
  <c r="AA198" i="3"/>
  <c r="X199" i="3"/>
  <c r="AA199" i="3"/>
  <c r="X200" i="3"/>
  <c r="AA200" i="3"/>
  <c r="X201" i="3"/>
  <c r="AA201" i="3"/>
  <c r="X202" i="3"/>
  <c r="AA202" i="3"/>
  <c r="X203" i="3"/>
  <c r="AA203" i="3"/>
  <c r="X204" i="3"/>
  <c r="AA204" i="3"/>
  <c r="X205" i="3"/>
  <c r="AA205" i="3"/>
  <c r="X206" i="3"/>
  <c r="AA206" i="3"/>
  <c r="X207" i="3"/>
  <c r="AA207" i="3"/>
  <c r="X208" i="3"/>
  <c r="AA208" i="3"/>
  <c r="X209" i="3"/>
  <c r="AA209" i="3"/>
  <c r="X210" i="3"/>
  <c r="AA210" i="3"/>
  <c r="X211" i="3"/>
  <c r="AA211" i="3"/>
  <c r="X212" i="3"/>
  <c r="AA212" i="3"/>
  <c r="X213" i="3"/>
  <c r="AA213" i="3"/>
  <c r="X214" i="3"/>
  <c r="AA214" i="3"/>
  <c r="X215" i="3"/>
  <c r="AA215" i="3"/>
  <c r="X216" i="3"/>
  <c r="AA216" i="3"/>
  <c r="X217" i="3"/>
  <c r="AA217" i="3"/>
  <c r="X218" i="3"/>
  <c r="AA218" i="3"/>
  <c r="X219" i="3"/>
  <c r="AA219" i="3"/>
  <c r="X220" i="3"/>
  <c r="AA220" i="3"/>
  <c r="X221" i="3"/>
  <c r="AA221" i="3"/>
  <c r="X222" i="3"/>
  <c r="AA222" i="3"/>
  <c r="X223" i="3"/>
  <c r="AA223" i="3"/>
  <c r="X224" i="3"/>
  <c r="AA224" i="3"/>
  <c r="X225" i="3"/>
  <c r="AA225" i="3"/>
  <c r="X226" i="3"/>
  <c r="AA226" i="3"/>
  <c r="X227" i="3"/>
  <c r="AA227" i="3"/>
  <c r="X228" i="3"/>
  <c r="AA228" i="3"/>
  <c r="X229" i="3"/>
  <c r="AA229" i="3"/>
  <c r="X230" i="3"/>
  <c r="AA230" i="3"/>
  <c r="X231" i="3"/>
  <c r="AA231" i="3"/>
  <c r="X232" i="3"/>
  <c r="AA232" i="3"/>
  <c r="X233" i="3"/>
  <c r="AA233" i="3"/>
  <c r="X234" i="3"/>
  <c r="AA234" i="3"/>
  <c r="X235" i="3"/>
  <c r="AA235" i="3"/>
  <c r="X236" i="3"/>
  <c r="AA236" i="3"/>
  <c r="X237" i="3"/>
  <c r="AA237" i="3"/>
  <c r="X238" i="3"/>
  <c r="AA238" i="3"/>
  <c r="X239" i="3"/>
  <c r="AA239" i="3"/>
  <c r="X240" i="3"/>
  <c r="AA240" i="3"/>
  <c r="X241" i="3"/>
  <c r="AA241" i="3"/>
  <c r="X242" i="3"/>
  <c r="AA242" i="3"/>
  <c r="X243" i="3"/>
  <c r="AA243" i="3"/>
  <c r="X244" i="3"/>
  <c r="AA244" i="3"/>
  <c r="X245" i="3"/>
  <c r="AA245" i="3"/>
  <c r="X246" i="3"/>
  <c r="AA246" i="3"/>
  <c r="X247" i="3"/>
  <c r="AA247" i="3"/>
  <c r="X248" i="3"/>
  <c r="AA248" i="3"/>
  <c r="X249" i="3"/>
  <c r="AA249" i="3"/>
  <c r="X250" i="3"/>
  <c r="AA250" i="3"/>
  <c r="X251" i="3"/>
  <c r="AA251" i="3"/>
  <c r="X252" i="3"/>
  <c r="AA252" i="3"/>
  <c r="X253" i="3"/>
  <c r="AA253" i="3"/>
  <c r="X254" i="3"/>
  <c r="AA254" i="3"/>
  <c r="X255" i="3"/>
  <c r="AA255" i="3"/>
  <c r="X256" i="3"/>
  <c r="AA256" i="3"/>
  <c r="X257" i="3"/>
  <c r="AA257" i="3"/>
  <c r="X258" i="3"/>
  <c r="AA258" i="3"/>
  <c r="X259" i="3"/>
  <c r="AA259" i="3"/>
  <c r="X260" i="3"/>
  <c r="AA260" i="3"/>
  <c r="X261" i="3"/>
  <c r="AA261" i="3"/>
  <c r="X262" i="3"/>
  <c r="AA262" i="3"/>
  <c r="X263" i="3"/>
  <c r="AA263" i="3"/>
  <c r="X264" i="3"/>
  <c r="AA264" i="3"/>
  <c r="X265" i="3"/>
  <c r="AA265" i="3"/>
  <c r="X266" i="3"/>
  <c r="AA266" i="3"/>
  <c r="X267" i="3"/>
  <c r="AA267" i="3"/>
  <c r="X268" i="3"/>
  <c r="AA268" i="3"/>
  <c r="X269" i="3"/>
  <c r="AA269" i="3"/>
  <c r="X270" i="3"/>
  <c r="AA270" i="3"/>
  <c r="X271" i="3"/>
  <c r="AA271" i="3"/>
  <c r="X272" i="3"/>
  <c r="AA272" i="3"/>
  <c r="X273" i="3"/>
  <c r="AA273" i="3"/>
  <c r="X274" i="3"/>
  <c r="AA274" i="3"/>
  <c r="X275" i="3"/>
  <c r="AA275" i="3"/>
  <c r="X276" i="3"/>
  <c r="AA276" i="3"/>
  <c r="X277" i="3"/>
  <c r="AA277" i="3"/>
  <c r="X278" i="3"/>
  <c r="AA278" i="3"/>
  <c r="X279" i="3"/>
  <c r="AA279" i="3"/>
  <c r="X280" i="3"/>
  <c r="AA280" i="3"/>
  <c r="X281" i="3"/>
  <c r="AA281" i="3"/>
  <c r="X282" i="3"/>
  <c r="AA282" i="3"/>
  <c r="X283" i="3"/>
  <c r="AA283" i="3"/>
  <c r="X284" i="3"/>
  <c r="AA284" i="3"/>
  <c r="X285" i="3"/>
  <c r="AA285" i="3"/>
  <c r="X286" i="3"/>
  <c r="AA286" i="3"/>
  <c r="X287" i="3"/>
  <c r="AA287" i="3"/>
  <c r="X288" i="3"/>
  <c r="AA288" i="3"/>
  <c r="X289" i="3"/>
  <c r="AA289" i="3"/>
  <c r="X290" i="3"/>
  <c r="AA290" i="3"/>
  <c r="X291" i="3"/>
  <c r="AA291" i="3"/>
  <c r="X292" i="3"/>
  <c r="AA292" i="3"/>
  <c r="X293" i="3"/>
  <c r="AA293" i="3"/>
  <c r="X294" i="3"/>
  <c r="AA294" i="3"/>
  <c r="X295" i="3"/>
  <c r="AA295" i="3"/>
  <c r="X296" i="3"/>
  <c r="AA296" i="3"/>
  <c r="X297" i="3"/>
  <c r="AA297" i="3"/>
  <c r="X298" i="3"/>
  <c r="AA298" i="3"/>
  <c r="X299" i="3"/>
  <c r="AA299" i="3"/>
  <c r="X300" i="3"/>
  <c r="AA300" i="3"/>
  <c r="X301" i="3"/>
  <c r="AA301" i="3"/>
  <c r="X302" i="3"/>
  <c r="AA302" i="3"/>
  <c r="X303" i="3"/>
  <c r="AA303" i="3"/>
  <c r="X304" i="3"/>
  <c r="AA304" i="3"/>
  <c r="X305" i="3"/>
  <c r="AA305" i="3"/>
  <c r="X306" i="3"/>
  <c r="AA306" i="3"/>
  <c r="X307" i="3"/>
  <c r="AA307" i="3"/>
  <c r="X308" i="3"/>
  <c r="AA308" i="3"/>
  <c r="X309" i="3"/>
  <c r="AA309" i="3"/>
  <c r="X310" i="3"/>
  <c r="AA310" i="3"/>
  <c r="X311" i="3"/>
  <c r="AA311" i="3"/>
  <c r="X312" i="3"/>
  <c r="AA312" i="3"/>
  <c r="X313" i="3"/>
  <c r="AA313" i="3"/>
  <c r="X314" i="3"/>
  <c r="AA314" i="3"/>
  <c r="X315" i="3"/>
  <c r="AA315" i="3"/>
  <c r="X316" i="3"/>
  <c r="AA316" i="3"/>
  <c r="X317" i="3"/>
  <c r="AA317" i="3"/>
  <c r="X318" i="3"/>
  <c r="AA318" i="3"/>
  <c r="X319" i="3"/>
  <c r="AA319" i="3"/>
  <c r="X320" i="3"/>
  <c r="AA320" i="3"/>
  <c r="X321" i="3"/>
  <c r="AA321" i="3"/>
  <c r="X322" i="3"/>
  <c r="AA322" i="3"/>
  <c r="X323" i="3"/>
  <c r="AA323" i="3"/>
  <c r="X324" i="3"/>
  <c r="AA324" i="3"/>
  <c r="X325" i="3"/>
  <c r="AA325" i="3"/>
  <c r="X326" i="3"/>
  <c r="AA326" i="3"/>
  <c r="X327" i="3"/>
  <c r="AA327" i="3"/>
  <c r="X328" i="3"/>
  <c r="AA328" i="3"/>
  <c r="X329" i="3"/>
  <c r="AA329" i="3"/>
  <c r="X330" i="3"/>
  <c r="AA330" i="3"/>
  <c r="X331" i="3"/>
  <c r="AA331" i="3"/>
  <c r="X332" i="3"/>
  <c r="AA332" i="3"/>
  <c r="X333" i="3"/>
  <c r="AA333" i="3"/>
  <c r="X334" i="3"/>
  <c r="AA334" i="3"/>
  <c r="X335" i="3"/>
  <c r="AA335" i="3"/>
  <c r="X336" i="3"/>
  <c r="AA336" i="3"/>
  <c r="X337" i="3"/>
  <c r="AA337" i="3"/>
  <c r="X338" i="3"/>
  <c r="AA338" i="3"/>
  <c r="X339" i="3"/>
  <c r="AA339" i="3"/>
  <c r="X340" i="3"/>
  <c r="AA340" i="3"/>
  <c r="X341" i="3"/>
  <c r="AA341" i="3"/>
  <c r="X342" i="3"/>
  <c r="AA342" i="3"/>
  <c r="X343" i="3"/>
  <c r="AA343" i="3"/>
  <c r="X344" i="3"/>
  <c r="AA344" i="3"/>
  <c r="X345" i="3"/>
  <c r="AA345" i="3"/>
  <c r="X346" i="3"/>
  <c r="AA346" i="3"/>
  <c r="X347" i="3"/>
  <c r="AA347" i="3"/>
  <c r="X348" i="3"/>
  <c r="AA348" i="3"/>
  <c r="X349" i="3"/>
  <c r="AA349" i="3"/>
  <c r="X350" i="3"/>
  <c r="AA350" i="3"/>
  <c r="X351" i="3"/>
  <c r="AA351" i="3"/>
  <c r="X352" i="3"/>
  <c r="AA352" i="3"/>
  <c r="X353" i="3"/>
  <c r="AA353" i="3"/>
  <c r="X354" i="3"/>
  <c r="AA354" i="3"/>
  <c r="X355" i="3"/>
  <c r="AA355" i="3"/>
  <c r="X356" i="3"/>
  <c r="AA356" i="3"/>
  <c r="X357" i="3"/>
  <c r="AA357" i="3"/>
  <c r="X358" i="3"/>
  <c r="AA358" i="3"/>
  <c r="X359" i="3"/>
  <c r="AA359" i="3"/>
  <c r="X360" i="3"/>
  <c r="AA360" i="3"/>
  <c r="X361" i="3"/>
  <c r="AA361" i="3"/>
  <c r="X362" i="3"/>
  <c r="AA362" i="3"/>
  <c r="X363" i="3"/>
  <c r="AA363" i="3"/>
  <c r="X364" i="3"/>
  <c r="AA364" i="3"/>
  <c r="X365" i="3"/>
  <c r="AA365" i="3"/>
  <c r="X366" i="3"/>
  <c r="AA366" i="3"/>
  <c r="X367" i="3"/>
  <c r="AA367" i="3"/>
  <c r="X368" i="3"/>
  <c r="AA368" i="3"/>
  <c r="X369" i="3"/>
  <c r="AA369" i="3"/>
  <c r="X370" i="3"/>
  <c r="AA370" i="3"/>
  <c r="X371" i="3"/>
  <c r="AA371" i="3"/>
  <c r="X372" i="3"/>
  <c r="AA372" i="3"/>
  <c r="X373" i="3"/>
  <c r="AA373" i="3"/>
  <c r="X374" i="3"/>
  <c r="AA374" i="3"/>
  <c r="X375" i="3"/>
  <c r="AA375" i="3"/>
  <c r="X376" i="3"/>
  <c r="AA376" i="3"/>
  <c r="X377" i="3"/>
  <c r="AA377" i="3"/>
  <c r="X378" i="3"/>
  <c r="AA378" i="3"/>
  <c r="X379" i="3"/>
  <c r="AA379" i="3"/>
  <c r="X380" i="3"/>
  <c r="AA380" i="3"/>
  <c r="X381" i="3"/>
  <c r="AA381" i="3"/>
  <c r="X382" i="3"/>
  <c r="AA382" i="3"/>
  <c r="X383" i="3"/>
  <c r="AA383" i="3"/>
  <c r="X384" i="3"/>
  <c r="AA384" i="3"/>
  <c r="X385" i="3"/>
  <c r="AA385" i="3"/>
  <c r="X386" i="3"/>
  <c r="AA386" i="3"/>
  <c r="X387" i="3"/>
  <c r="AA387" i="3"/>
  <c r="X388" i="3"/>
  <c r="AA388" i="3"/>
  <c r="X389" i="3"/>
  <c r="AA389" i="3"/>
  <c r="X390" i="3"/>
  <c r="AA390" i="3"/>
  <c r="X391" i="3"/>
  <c r="AA391" i="3"/>
  <c r="X392" i="3"/>
  <c r="AA392" i="3"/>
  <c r="X393" i="3"/>
  <c r="AA393" i="3"/>
  <c r="X394" i="3"/>
  <c r="AA394" i="3"/>
  <c r="X395" i="3"/>
  <c r="AA395" i="3"/>
  <c r="X396" i="3"/>
  <c r="AA396" i="3"/>
  <c r="X397" i="3"/>
  <c r="AA397" i="3"/>
  <c r="X398" i="3"/>
  <c r="AA398" i="3"/>
  <c r="X399" i="3"/>
  <c r="AA399" i="3"/>
  <c r="X400" i="3"/>
  <c r="AA400" i="3"/>
  <c r="X401" i="3"/>
  <c r="AA401" i="3"/>
  <c r="X402" i="3"/>
  <c r="AA402" i="3"/>
  <c r="X403" i="3"/>
  <c r="AA403" i="3"/>
  <c r="X404" i="3"/>
  <c r="AA404" i="3"/>
  <c r="X405" i="3"/>
  <c r="AA405" i="3"/>
  <c r="X406" i="3"/>
  <c r="AA406" i="3"/>
  <c r="X407" i="3"/>
  <c r="AA407" i="3"/>
  <c r="X408" i="3"/>
  <c r="AA408" i="3"/>
  <c r="X409" i="3"/>
  <c r="AA409" i="3"/>
  <c r="X410" i="3"/>
  <c r="AA410" i="3"/>
  <c r="X411" i="3"/>
  <c r="AA411" i="3"/>
  <c r="X412" i="3"/>
  <c r="AA412" i="3"/>
  <c r="X413" i="3"/>
  <c r="AA413" i="3"/>
  <c r="X414" i="3"/>
  <c r="AA414" i="3"/>
  <c r="X415" i="3"/>
  <c r="AA415" i="3"/>
  <c r="X416" i="3"/>
  <c r="AA416" i="3"/>
  <c r="X417" i="3"/>
  <c r="AA417" i="3"/>
  <c r="X418" i="3"/>
  <c r="AA418" i="3"/>
  <c r="X419" i="3"/>
  <c r="AA419" i="3"/>
  <c r="X420" i="3"/>
  <c r="AA420" i="3"/>
  <c r="X421" i="3"/>
  <c r="AA421" i="3"/>
  <c r="X422" i="3"/>
  <c r="AA422" i="3"/>
  <c r="X423" i="3"/>
  <c r="AA423" i="3"/>
  <c r="X424" i="3"/>
  <c r="AA424" i="3"/>
  <c r="X425" i="3"/>
  <c r="AA425" i="3"/>
  <c r="X426" i="3"/>
  <c r="AA426" i="3"/>
  <c r="X427" i="3"/>
  <c r="AA427" i="3"/>
  <c r="X428" i="3"/>
  <c r="AA428" i="3"/>
  <c r="X429" i="3"/>
  <c r="AA429" i="3"/>
  <c r="X430" i="3"/>
  <c r="AA430" i="3"/>
  <c r="X431" i="3"/>
  <c r="AA431" i="3"/>
  <c r="X432" i="3"/>
  <c r="AA432" i="3"/>
  <c r="X433" i="3"/>
  <c r="AA433" i="3"/>
  <c r="X434" i="3"/>
  <c r="AA434" i="3"/>
  <c r="X435" i="3"/>
  <c r="AA435" i="3"/>
  <c r="X436" i="3"/>
  <c r="AA436" i="3"/>
  <c r="X437" i="3"/>
  <c r="AA437" i="3"/>
  <c r="X438" i="3"/>
  <c r="AA438" i="3"/>
  <c r="X439" i="3"/>
  <c r="AA439" i="3"/>
  <c r="X440" i="3"/>
  <c r="AA440" i="3"/>
  <c r="X441" i="3"/>
  <c r="AA441" i="3"/>
  <c r="Q444" i="3"/>
  <c r="T6" i="515"/>
  <c r="U6" i="515"/>
  <c r="V6" i="515"/>
  <c r="W6" i="515"/>
  <c r="X6" i="515"/>
  <c r="AT8" i="515"/>
  <c r="AT9" i="515"/>
  <c r="AT10" i="515"/>
  <c r="AT12" i="515"/>
  <c r="AT13" i="515"/>
  <c r="AT14" i="515"/>
  <c r="AT15" i="515"/>
  <c r="AT16" i="515"/>
  <c r="AT17" i="515"/>
  <c r="AT18" i="515"/>
  <c r="AT19" i="515"/>
  <c r="AT20" i="515"/>
  <c r="AT21" i="515"/>
  <c r="AT22" i="515"/>
  <c r="AT23" i="515"/>
  <c r="AT25" i="515"/>
  <c r="AT26" i="515"/>
  <c r="AT27" i="515"/>
  <c r="AT28" i="515"/>
  <c r="AT29" i="515"/>
  <c r="AT30" i="515"/>
  <c r="AT31" i="515"/>
  <c r="AT32" i="515"/>
  <c r="AT33" i="515"/>
  <c r="AT34" i="515"/>
  <c r="AT35" i="515"/>
  <c r="AT36" i="515"/>
  <c r="AT37" i="515"/>
  <c r="AT38" i="515"/>
  <c r="AT39" i="515"/>
  <c r="AT40" i="515"/>
  <c r="AT41" i="515"/>
  <c r="AT42" i="515"/>
  <c r="AT43" i="515"/>
  <c r="AT44" i="515"/>
  <c r="AT45" i="515"/>
  <c r="AT46" i="515"/>
  <c r="AT47" i="515"/>
  <c r="AT48" i="515"/>
  <c r="AT49" i="515"/>
  <c r="AT50" i="515"/>
  <c r="AT51" i="515"/>
  <c r="AT52" i="515"/>
  <c r="AT54" i="515"/>
  <c r="AT55" i="515"/>
  <c r="C57" i="515"/>
  <c r="B1" i="39125"/>
  <c r="B3" i="39125"/>
  <c r="G4" i="39124"/>
  <c r="B58" i="39124"/>
  <c r="AD56" i="515" l="1"/>
  <c r="AE56" i="515" s="1"/>
  <c r="X442" i="3"/>
  <c r="Y52" i="515"/>
  <c r="AA13" i="515"/>
  <c r="AA8" i="515"/>
  <c r="AA56" i="515"/>
  <c r="AA52" i="515"/>
  <c r="AA48" i="515"/>
  <c r="AA44" i="515"/>
  <c r="AA40" i="515"/>
  <c r="AA36" i="515"/>
  <c r="AA32" i="515"/>
  <c r="AA28" i="515"/>
  <c r="AA24" i="515"/>
  <c r="AA20" i="515"/>
  <c r="AA16" i="515"/>
  <c r="AA12" i="515"/>
  <c r="AA7" i="515"/>
  <c r="AA11" i="515"/>
  <c r="AA53" i="515"/>
  <c r="AA49" i="515"/>
  <c r="AA45" i="515"/>
  <c r="AA41" i="515"/>
  <c r="AA37" i="515"/>
  <c r="AA33" i="515"/>
  <c r="AA29" i="515"/>
  <c r="AA25" i="515"/>
  <c r="AA21" i="515"/>
  <c r="AA17" i="515"/>
  <c r="AA10" i="515"/>
  <c r="AA54" i="515"/>
  <c r="AA50" i="515"/>
  <c r="AA46" i="515"/>
  <c r="AA42" i="515"/>
  <c r="AA38" i="515"/>
  <c r="AA34" i="515"/>
  <c r="AA30" i="515"/>
  <c r="AA26" i="515"/>
  <c r="AA22" i="515"/>
  <c r="AA18" i="515"/>
  <c r="AA14" i="515"/>
  <c r="AA9" i="515"/>
  <c r="AA55" i="515"/>
  <c r="AA51" i="515"/>
  <c r="AA47" i="515"/>
  <c r="AA43" i="515"/>
  <c r="AA39" i="515"/>
  <c r="AA35" i="515"/>
  <c r="AA31" i="515"/>
  <c r="AA27" i="515"/>
  <c r="AA23" i="515"/>
  <c r="AA19" i="515"/>
  <c r="AA15" i="515"/>
  <c r="Y8" i="515"/>
  <c r="Y51" i="515"/>
  <c r="Y50" i="515"/>
  <c r="Y49" i="515"/>
  <c r="Y48" i="515"/>
  <c r="Y47" i="515"/>
  <c r="Y46" i="515"/>
  <c r="Y45" i="515"/>
  <c r="Y44" i="515"/>
  <c r="Y43" i="515"/>
  <c r="Y42" i="515"/>
  <c r="Y41" i="515"/>
  <c r="Y40" i="515"/>
  <c r="Y39" i="515"/>
  <c r="Y38" i="515"/>
  <c r="Y37" i="515"/>
  <c r="Y36" i="515"/>
  <c r="Y35" i="515"/>
  <c r="Y34" i="515"/>
  <c r="Y33" i="515"/>
  <c r="Y32" i="515"/>
  <c r="Y31" i="515"/>
  <c r="Y30" i="515"/>
  <c r="Y29" i="515"/>
  <c r="Y28" i="515"/>
  <c r="Y27" i="515"/>
  <c r="Y26" i="515"/>
  <c r="Y25" i="515"/>
  <c r="Y24" i="515"/>
  <c r="Y23" i="515"/>
  <c r="Y22" i="515"/>
  <c r="Y21" i="515"/>
  <c r="Y20" i="515"/>
  <c r="Y19" i="515"/>
  <c r="Y18" i="515"/>
  <c r="Y17" i="515"/>
  <c r="Y16" i="515"/>
  <c r="Y15" i="515"/>
  <c r="Y14" i="515"/>
  <c r="Y13" i="515"/>
  <c r="Y12" i="515"/>
  <c r="Y11" i="515"/>
  <c r="Y10" i="515"/>
  <c r="Y9" i="515"/>
  <c r="AF7" i="515"/>
  <c r="AF50" i="515"/>
  <c r="AF54" i="515"/>
  <c r="AF9" i="515"/>
  <c r="AF13" i="515"/>
  <c r="AF17" i="515"/>
  <c r="AF21" i="515"/>
  <c r="AF25" i="515"/>
  <c r="AF29" i="515"/>
  <c r="AF33" i="515"/>
  <c r="AF37" i="515"/>
  <c r="AF41" i="515"/>
  <c r="AF45" i="515"/>
  <c r="AF49" i="515"/>
  <c r="AF53" i="515"/>
  <c r="AF8" i="515"/>
  <c r="AF12" i="515"/>
  <c r="AF16" i="515"/>
  <c r="AF20" i="515"/>
  <c r="AF24" i="515"/>
  <c r="AF28" i="515"/>
  <c r="AF32" i="515"/>
  <c r="AF36" i="515"/>
  <c r="AF40" i="515"/>
  <c r="AF44" i="515"/>
  <c r="AF48" i="515"/>
  <c r="AF52" i="515"/>
  <c r="AF11" i="515"/>
  <c r="AF15" i="515"/>
  <c r="AF19" i="515"/>
  <c r="AF23" i="515"/>
  <c r="AF27" i="515"/>
  <c r="AF31" i="515"/>
  <c r="AF35" i="515"/>
  <c r="AF39" i="515"/>
  <c r="AF43" i="515"/>
  <c r="AF47" i="515"/>
  <c r="AF51" i="515"/>
  <c r="AF55" i="515"/>
  <c r="AF10" i="515"/>
  <c r="AF14" i="515"/>
  <c r="AF18" i="515"/>
  <c r="AF22" i="515"/>
  <c r="AF26" i="515"/>
  <c r="AF30" i="515"/>
  <c r="AF34" i="515"/>
  <c r="AF38" i="515"/>
  <c r="AF42" i="515"/>
  <c r="AF46" i="515"/>
  <c r="Y7" i="515"/>
  <c r="AT57" i="515"/>
  <c r="D3" i="868"/>
  <c r="B21" i="39125"/>
  <c r="D2" i="868"/>
  <c r="B20" i="39125"/>
  <c r="Y54" i="515" l="1"/>
  <c r="Y53" i="515"/>
  <c r="Y55" i="515"/>
  <c r="B4" i="39125"/>
  <c r="AA57" i="515"/>
  <c r="AD8" i="515"/>
  <c r="AE8" i="515" s="1"/>
  <c r="AD10" i="515"/>
  <c r="AE10" i="515" s="1"/>
  <c r="AD12" i="515"/>
  <c r="AE12" i="515" s="1"/>
  <c r="AD14" i="515"/>
  <c r="AE14" i="515" s="1"/>
  <c r="AD16" i="515"/>
  <c r="AE16" i="515" s="1"/>
  <c r="AD18" i="515"/>
  <c r="AE18" i="515" s="1"/>
  <c r="AD20" i="515"/>
  <c r="AE20" i="515" s="1"/>
  <c r="AD22" i="515"/>
  <c r="AE22" i="515" s="1"/>
  <c r="AD24" i="515"/>
  <c r="AE24" i="515" s="1"/>
  <c r="AD26" i="515"/>
  <c r="AE26" i="515" s="1"/>
  <c r="AD28" i="515"/>
  <c r="AE28" i="515" s="1"/>
  <c r="AD30" i="515"/>
  <c r="AE30" i="515" s="1"/>
  <c r="AD32" i="515"/>
  <c r="AE32" i="515" s="1"/>
  <c r="AD34" i="515"/>
  <c r="AE34" i="515" s="1"/>
  <c r="AD36" i="515"/>
  <c r="AE36" i="515" s="1"/>
  <c r="AD38" i="515"/>
  <c r="AE38" i="515" s="1"/>
  <c r="AD40" i="515"/>
  <c r="AE40" i="515" s="1"/>
  <c r="AD42" i="515"/>
  <c r="AE42" i="515" s="1"/>
  <c r="AD44" i="515"/>
  <c r="AE44" i="515" s="1"/>
  <c r="AD46" i="515"/>
  <c r="AE46" i="515" s="1"/>
  <c r="AD48" i="515"/>
  <c r="AE48" i="515" s="1"/>
  <c r="AD50" i="515"/>
  <c r="AE50" i="515" s="1"/>
  <c r="AD52" i="515"/>
  <c r="AE52" i="515" s="1"/>
  <c r="AD54" i="515"/>
  <c r="AE54" i="515" s="1"/>
  <c r="AD7" i="515"/>
  <c r="AE7" i="515" s="1"/>
  <c r="AD9" i="515"/>
  <c r="AE9" i="515" s="1"/>
  <c r="AD11" i="515"/>
  <c r="AE11" i="515" s="1"/>
  <c r="AD13" i="515"/>
  <c r="AE13" i="515" s="1"/>
  <c r="AD15" i="515"/>
  <c r="AE15" i="515" s="1"/>
  <c r="AD17" i="515"/>
  <c r="AE17" i="515" s="1"/>
  <c r="AD19" i="515"/>
  <c r="AE19" i="515" s="1"/>
  <c r="AD21" i="515"/>
  <c r="AE21" i="515" s="1"/>
  <c r="AD23" i="515"/>
  <c r="AE23" i="515" s="1"/>
  <c r="AD25" i="515"/>
  <c r="AE25" i="515" s="1"/>
  <c r="AD27" i="515"/>
  <c r="AE27" i="515" s="1"/>
  <c r="AD29" i="515"/>
  <c r="AE29" i="515" s="1"/>
  <c r="AD31" i="515"/>
  <c r="AE31" i="515" s="1"/>
  <c r="AD33" i="515"/>
  <c r="AE33" i="515" s="1"/>
  <c r="AD35" i="515"/>
  <c r="AE35" i="515" s="1"/>
  <c r="AD37" i="515"/>
  <c r="AE37" i="515" s="1"/>
  <c r="AD39" i="515"/>
  <c r="AE39" i="515" s="1"/>
  <c r="AD41" i="515"/>
  <c r="AE41" i="515" s="1"/>
  <c r="AD43" i="515"/>
  <c r="AE43" i="515" s="1"/>
  <c r="AD45" i="515"/>
  <c r="AE45" i="515" s="1"/>
  <c r="AD47" i="515"/>
  <c r="AE47" i="515" s="1"/>
  <c r="AD49" i="515"/>
  <c r="AE49" i="515" s="1"/>
  <c r="AD51" i="515"/>
  <c r="AE51" i="515" s="1"/>
  <c r="AD53" i="515"/>
  <c r="AE53" i="515" s="1"/>
  <c r="AD55" i="515"/>
  <c r="AE55" i="515" s="1"/>
  <c r="AE57" i="515" l="1"/>
  <c r="V7" i="3" l="1"/>
  <c r="Z7" i="3" l="1"/>
  <c r="AF7" i="3"/>
  <c r="AE7" i="3"/>
  <c r="AD7" i="3"/>
  <c r="Y7" i="3"/>
  <c r="AB7" i="3"/>
  <c r="AC7" i="3" l="1"/>
  <c r="AG7" i="3"/>
  <c r="AB8" i="3" l="1"/>
  <c r="V8" i="3"/>
  <c r="Y8" i="3" l="1"/>
  <c r="Z8" i="3"/>
  <c r="AF8" i="3"/>
  <c r="AE8" i="3"/>
  <c r="AD8" i="3"/>
  <c r="AC8" i="3" l="1"/>
  <c r="AG8" i="3"/>
  <c r="V9" i="3" l="1"/>
  <c r="AB9" i="3"/>
  <c r="Z9" i="3" l="1"/>
  <c r="Y9" i="3"/>
  <c r="AD9" i="3"/>
  <c r="AF9" i="3"/>
  <c r="AE9" i="3"/>
  <c r="AB10" i="3"/>
  <c r="AC9" i="3" l="1"/>
  <c r="AG9" i="3"/>
  <c r="V10" i="3"/>
  <c r="Z10" i="3" l="1"/>
  <c r="Y10" i="3"/>
  <c r="AF10" i="3"/>
  <c r="AE10" i="3"/>
  <c r="AD10" i="3"/>
  <c r="V11" i="3"/>
  <c r="AC10" i="3" l="1"/>
  <c r="AD11" i="3"/>
  <c r="AG10" i="3"/>
  <c r="Y11" i="3"/>
  <c r="AC11" i="3" s="1"/>
  <c r="AB11" i="3"/>
  <c r="Z11" i="3"/>
  <c r="AF11" i="3"/>
  <c r="AE11" i="3"/>
  <c r="AG11" i="3" l="1"/>
  <c r="AB12" i="3" l="1"/>
  <c r="V12" i="3"/>
  <c r="Y12" i="3" l="1"/>
  <c r="Z12" i="3"/>
  <c r="AE12" i="3"/>
  <c r="AF12" i="3"/>
  <c r="AD12" i="3"/>
  <c r="AC12" i="3" l="1"/>
  <c r="AG12" i="3"/>
  <c r="V13" i="3"/>
  <c r="Z13" i="3" l="1"/>
  <c r="AF13" i="3"/>
  <c r="AE13" i="3"/>
  <c r="Y13" i="3"/>
  <c r="AC13" i="3" s="1"/>
  <c r="AD13" i="3"/>
  <c r="AB13" i="3"/>
  <c r="AU7" i="515"/>
  <c r="AH7" i="515" l="1"/>
  <c r="AG7" i="515"/>
  <c r="AI7" i="515"/>
  <c r="AJ7" i="515"/>
  <c r="AR7" i="515"/>
  <c r="BJ7" i="515"/>
  <c r="AG13" i="3"/>
  <c r="BK7" i="515"/>
  <c r="BL7" i="515"/>
  <c r="BO7" i="515" l="1"/>
  <c r="AW7" i="515"/>
  <c r="AV7" i="515"/>
  <c r="AP7" i="515"/>
  <c r="R7" i="515"/>
  <c r="BP7" i="515"/>
  <c r="BN7" i="515"/>
  <c r="AX7" i="515"/>
  <c r="G8" i="39124" l="1"/>
  <c r="AM8" i="39124"/>
  <c r="V14" i="3" l="1"/>
  <c r="AU8" i="515"/>
  <c r="AB14" i="3"/>
  <c r="Y14" i="3" l="1"/>
  <c r="AH8" i="515"/>
  <c r="AG8" i="515"/>
  <c r="AR8" i="515"/>
  <c r="Z14" i="3"/>
  <c r="AE14" i="3"/>
  <c r="P8" i="515"/>
  <c r="AF14" i="3"/>
  <c r="AD14" i="3"/>
  <c r="N8" i="515" l="1"/>
  <c r="AC14" i="3"/>
  <c r="AI8" i="515" s="1"/>
  <c r="AG14" i="3"/>
  <c r="BJ8" i="515"/>
  <c r="BL8" i="515"/>
  <c r="BK8" i="515"/>
  <c r="AW8" i="515"/>
  <c r="AP8" i="515"/>
  <c r="AV8" i="515"/>
  <c r="R8" i="515"/>
  <c r="E9" i="39124"/>
  <c r="AE9" i="39124"/>
  <c r="AX8" i="515"/>
  <c r="AB8" i="515" l="1"/>
  <c r="AC8" i="515" s="1"/>
  <c r="AJ8" i="515"/>
  <c r="C9" i="39124"/>
  <c r="W9" i="39124"/>
  <c r="BO8" i="515"/>
  <c r="BP8" i="515"/>
  <c r="AH14" i="3"/>
  <c r="G9" i="39124"/>
  <c r="AM9" i="39124"/>
  <c r="BN8" i="515"/>
  <c r="AB15" i="3" l="1"/>
  <c r="V15" i="3"/>
  <c r="Y15" i="3" l="1"/>
  <c r="Z15" i="3"/>
  <c r="AF15" i="3"/>
  <c r="AE15" i="3"/>
  <c r="AD15" i="3"/>
  <c r="AC15" i="3" l="1"/>
  <c r="AG15" i="3"/>
  <c r="V16" i="3"/>
  <c r="Z16" i="3" l="1"/>
  <c r="AE16" i="3"/>
  <c r="AF16" i="3"/>
  <c r="Y16" i="3"/>
  <c r="AD16" i="3"/>
  <c r="AB16" i="3"/>
  <c r="AC16" i="3" l="1"/>
  <c r="AG16" i="3"/>
  <c r="V17" i="3"/>
  <c r="AE17" i="3" l="1"/>
  <c r="Y17" i="3"/>
  <c r="Z17" i="3"/>
  <c r="AD17" i="3"/>
  <c r="AB17" i="3"/>
  <c r="AF17" i="3"/>
  <c r="AC17" i="3" l="1"/>
  <c r="AG17" i="3"/>
  <c r="V18" i="3" l="1"/>
  <c r="Y18" i="3" s="1"/>
  <c r="AB18" i="3"/>
  <c r="AC18" i="3" l="1"/>
  <c r="Z18" i="3"/>
  <c r="AD18" i="3"/>
  <c r="AE18" i="3"/>
  <c r="AF18" i="3"/>
  <c r="AG18" i="3" l="1"/>
  <c r="V19" i="3"/>
  <c r="Y19" i="3" l="1"/>
  <c r="Z19" i="3"/>
  <c r="AF19" i="3"/>
  <c r="AE19" i="3"/>
  <c r="AD19" i="3"/>
  <c r="AB19" i="3"/>
  <c r="AC19" i="3" l="1"/>
  <c r="AG19" i="3"/>
  <c r="V20" i="3" l="1"/>
  <c r="AB20" i="3"/>
  <c r="Y20" i="3" l="1"/>
  <c r="AC20" i="3" s="1"/>
  <c r="Z20" i="3"/>
  <c r="AE20" i="3"/>
  <c r="AF20" i="3"/>
  <c r="AD20" i="3"/>
  <c r="AG20" i="3" l="1"/>
  <c r="AB21" i="3"/>
  <c r="V21" i="3" l="1"/>
  <c r="Z21" i="3" l="1"/>
  <c r="Y21" i="3"/>
  <c r="AC21" i="3" s="1"/>
  <c r="AF21" i="3"/>
  <c r="AD21" i="3"/>
  <c r="AE21" i="3"/>
  <c r="AB22" i="3"/>
  <c r="AG21" i="3" l="1"/>
  <c r="V22" i="3"/>
  <c r="AU9" i="515"/>
  <c r="AR9" i="515" s="1"/>
  <c r="Y22" i="3" l="1"/>
  <c r="AC22" i="3" s="1"/>
  <c r="Z22" i="3"/>
  <c r="AF22" i="3"/>
  <c r="AE22" i="3"/>
  <c r="AD22" i="3"/>
  <c r="AW9" i="515" l="1"/>
  <c r="AV9" i="515"/>
  <c r="AP9" i="515"/>
  <c r="R9" i="515"/>
  <c r="AG22" i="3"/>
  <c r="AX9" i="515"/>
  <c r="G10" i="39124" l="1"/>
  <c r="AM10" i="39124"/>
  <c r="V23" i="3" l="1"/>
  <c r="P9" i="515" l="1"/>
  <c r="AE10" i="39124" s="1"/>
  <c r="AF23" i="3"/>
  <c r="BL9" i="515" s="1"/>
  <c r="BP9" i="515" s="1"/>
  <c r="Z23" i="3"/>
  <c r="AE23" i="3"/>
  <c r="BK9" i="515" s="1"/>
  <c r="BO9" i="515" s="1"/>
  <c r="Y23" i="3"/>
  <c r="AC23" i="3" s="1"/>
  <c r="AD23" i="3"/>
  <c r="BJ9" i="515" s="1"/>
  <c r="BN9" i="515" s="1"/>
  <c r="AB23" i="3"/>
  <c r="E10" i="39124" l="1"/>
  <c r="AG9" i="515"/>
  <c r="AJ9" i="515"/>
  <c r="AH9" i="515"/>
  <c r="AI9" i="515"/>
  <c r="AG23" i="3"/>
  <c r="V24" i="3" l="1"/>
  <c r="Y24" i="3" s="1"/>
  <c r="AB24" i="3"/>
  <c r="AC24" i="3" l="1"/>
  <c r="Z24" i="3"/>
  <c r="AF24" i="3"/>
  <c r="AE24" i="3"/>
  <c r="AD24" i="3"/>
  <c r="AG24" i="3" l="1"/>
  <c r="V25" i="3" l="1"/>
  <c r="AB25" i="3"/>
  <c r="Y25" i="3" l="1"/>
  <c r="Z25" i="3"/>
  <c r="AF25" i="3"/>
  <c r="AD25" i="3"/>
  <c r="AE25" i="3"/>
  <c r="AC25" i="3" l="1"/>
  <c r="AG25" i="3"/>
  <c r="V26" i="3" l="1"/>
  <c r="Y26" i="3" s="1"/>
  <c r="AB26" i="3"/>
  <c r="AU10" i="515"/>
  <c r="AC26" i="3" l="1"/>
  <c r="AB10" i="515" s="1"/>
  <c r="AC10" i="515" s="1"/>
  <c r="AR10" i="515"/>
  <c r="AX10" i="515" s="1"/>
  <c r="Z26" i="3"/>
  <c r="AD26" i="3"/>
  <c r="AF26" i="3"/>
  <c r="AE26" i="3"/>
  <c r="AG26" i="3" l="1"/>
  <c r="AV10" i="515"/>
  <c r="AP10" i="515"/>
  <c r="AW10" i="515"/>
  <c r="R10" i="515"/>
  <c r="G11" i="39124" l="1"/>
  <c r="AM11" i="39124"/>
  <c r="V27" i="3" l="1"/>
  <c r="AD27" i="3" l="1"/>
  <c r="BJ10" i="515" s="1"/>
  <c r="BN10" i="515" s="1"/>
  <c r="P10" i="515"/>
  <c r="Y27" i="3"/>
  <c r="AB27" i="3"/>
  <c r="Z27" i="3"/>
  <c r="AF27" i="3"/>
  <c r="BL10" i="515" s="1"/>
  <c r="BP10" i="515" s="1"/>
  <c r="AE27" i="3"/>
  <c r="BK10" i="515" s="1"/>
  <c r="BO10" i="515" s="1"/>
  <c r="AC27" i="3" l="1"/>
  <c r="N10" i="515"/>
  <c r="E11" i="39124"/>
  <c r="AE11" i="39124"/>
  <c r="AJ10" i="515"/>
  <c r="AH10" i="515"/>
  <c r="AG10" i="515"/>
  <c r="AI10" i="515"/>
  <c r="AG27" i="3"/>
  <c r="C11" i="39124" l="1"/>
  <c r="W11" i="39124"/>
  <c r="V28" i="3"/>
  <c r="AB28" i="3"/>
  <c r="Y28" i="3" l="1"/>
  <c r="Z28" i="3"/>
  <c r="AF28" i="3"/>
  <c r="AD28" i="3"/>
  <c r="AE28" i="3"/>
  <c r="AC28" i="3" l="1"/>
  <c r="AG28" i="3"/>
  <c r="V29" i="3"/>
  <c r="Y29" i="3" l="1"/>
  <c r="Z29" i="3"/>
  <c r="AE29" i="3"/>
  <c r="AF29" i="3"/>
  <c r="AD29" i="3"/>
  <c r="AB29" i="3"/>
  <c r="AC29" i="3" l="1"/>
  <c r="AG29" i="3"/>
  <c r="V30" i="3" l="1"/>
  <c r="AB30" i="3"/>
  <c r="Y30" i="3" l="1"/>
  <c r="Z30" i="3"/>
  <c r="AF30" i="3"/>
  <c r="AD30" i="3"/>
  <c r="AE30" i="3"/>
  <c r="AC30" i="3" l="1"/>
  <c r="AG30" i="3"/>
  <c r="V31" i="3"/>
  <c r="Y31" i="3" l="1"/>
  <c r="AB31" i="3"/>
  <c r="Z31" i="3"/>
  <c r="AF31" i="3"/>
  <c r="AE31" i="3"/>
  <c r="AD31" i="3"/>
  <c r="AC31" i="3" l="1"/>
  <c r="AG31" i="3"/>
  <c r="V32" i="3" l="1"/>
  <c r="AB32" i="3"/>
  <c r="Y32" i="3" l="1"/>
  <c r="Z32" i="3"/>
  <c r="AF32" i="3"/>
  <c r="AD32" i="3"/>
  <c r="AE32" i="3"/>
  <c r="AC32" i="3" l="1"/>
  <c r="AG32" i="3"/>
  <c r="AB33" i="3" l="1"/>
  <c r="V33" i="3"/>
  <c r="Y33" i="3" l="1"/>
  <c r="AC33" i="3" s="1"/>
  <c r="Z33" i="3"/>
  <c r="AE33" i="3"/>
  <c r="AF33" i="3"/>
  <c r="AD33" i="3"/>
  <c r="AG33" i="3" l="1"/>
  <c r="AB34" i="3" l="1"/>
  <c r="V34" i="3"/>
  <c r="Y34" i="3" l="1"/>
  <c r="AC34" i="3" s="1"/>
  <c r="Z34" i="3"/>
  <c r="AE34" i="3"/>
  <c r="AF34" i="3"/>
  <c r="AD34" i="3"/>
  <c r="AG34" i="3" l="1"/>
  <c r="AB35" i="3"/>
  <c r="V35" i="3" l="1"/>
  <c r="Y35" i="3" s="1"/>
  <c r="AC35" i="3" s="1"/>
  <c r="Z35" i="3" l="1"/>
  <c r="AF35" i="3"/>
  <c r="AE35" i="3"/>
  <c r="AD35" i="3"/>
  <c r="AG35" i="3" l="1"/>
  <c r="V36" i="3" l="1"/>
  <c r="AB36" i="3"/>
  <c r="Y36" i="3" l="1"/>
  <c r="AC36" i="3" s="1"/>
  <c r="Z36" i="3"/>
  <c r="AF36" i="3"/>
  <c r="AE36" i="3"/>
  <c r="AD36" i="3"/>
  <c r="AG36" i="3" l="1"/>
  <c r="V37" i="3"/>
  <c r="AB37" i="3"/>
  <c r="Z37" i="3" l="1"/>
  <c r="AD37" i="3"/>
  <c r="AF37" i="3"/>
  <c r="AE37" i="3"/>
  <c r="Y37" i="3"/>
  <c r="AC37" i="3" s="1"/>
  <c r="AG37" i="3" l="1"/>
  <c r="V38" i="3" l="1"/>
  <c r="AB38" i="3"/>
  <c r="Y38" i="3" l="1"/>
  <c r="AC38" i="3" s="1"/>
  <c r="Z38" i="3"/>
  <c r="AD38" i="3"/>
  <c r="AE38" i="3"/>
  <c r="AF38" i="3"/>
  <c r="AG38" i="3" l="1"/>
  <c r="AB39" i="3" l="1"/>
  <c r="V39" i="3"/>
  <c r="Y39" i="3" s="1"/>
  <c r="AC39" i="3" s="1"/>
  <c r="Z39" i="3" l="1"/>
  <c r="AD39" i="3"/>
  <c r="AE39" i="3"/>
  <c r="AF39" i="3"/>
  <c r="AG39" i="3" l="1"/>
  <c r="AB40" i="3" l="1"/>
  <c r="V40" i="3"/>
  <c r="Y40" i="3" l="1"/>
  <c r="AC40" i="3" s="1"/>
  <c r="Z40" i="3"/>
  <c r="AE40" i="3"/>
  <c r="AF40" i="3"/>
  <c r="AD40" i="3"/>
  <c r="AG40" i="3" l="1"/>
  <c r="V41" i="3" l="1"/>
  <c r="AB41" i="3"/>
  <c r="Y41" i="3" l="1"/>
  <c r="AC41" i="3" s="1"/>
  <c r="Z41" i="3"/>
  <c r="AE41" i="3"/>
  <c r="AF41" i="3"/>
  <c r="AD41" i="3"/>
  <c r="AG41" i="3" l="1"/>
  <c r="V42" i="3" l="1"/>
  <c r="Y42" i="3" s="1"/>
  <c r="AC42" i="3" s="1"/>
  <c r="AB42" i="3"/>
  <c r="Z42" i="3" l="1"/>
  <c r="AE42" i="3"/>
  <c r="AF42" i="3"/>
  <c r="AD42" i="3"/>
  <c r="AG42" i="3" l="1"/>
  <c r="AB43" i="3"/>
  <c r="V43" i="3" l="1"/>
  <c r="Y43" i="3" l="1"/>
  <c r="AC43" i="3" s="1"/>
  <c r="Z43" i="3"/>
  <c r="AE43" i="3"/>
  <c r="AD43" i="3"/>
  <c r="AF43" i="3"/>
  <c r="AG43" i="3" l="1"/>
  <c r="V44" i="3" l="1"/>
  <c r="AB44" i="3"/>
  <c r="Z44" i="3" l="1"/>
  <c r="Y44" i="3"/>
  <c r="AC44" i="3" s="1"/>
  <c r="AF44" i="3"/>
  <c r="AE44" i="3"/>
  <c r="AD44" i="3"/>
  <c r="V45" i="3"/>
  <c r="AF45" i="3" l="1"/>
  <c r="AG44" i="3"/>
  <c r="Z45" i="3"/>
  <c r="AE45" i="3"/>
  <c r="Y45" i="3"/>
  <c r="AC45" i="3" s="1"/>
  <c r="AD45" i="3"/>
  <c r="AB45" i="3"/>
  <c r="AG45" i="3" l="1"/>
  <c r="V46" i="3" l="1"/>
  <c r="AB46" i="3"/>
  <c r="AE46" i="3" l="1"/>
  <c r="Y46" i="3"/>
  <c r="AC46" i="3" s="1"/>
  <c r="AD46" i="3"/>
  <c r="AF46" i="3"/>
  <c r="Z46" i="3"/>
  <c r="AB47" i="3"/>
  <c r="V47" i="3"/>
  <c r="AG46" i="3" l="1"/>
  <c r="Y47" i="3"/>
  <c r="AC47" i="3" s="1"/>
  <c r="Z47" i="3"/>
  <c r="AE47" i="3"/>
  <c r="AF47" i="3"/>
  <c r="AD47" i="3"/>
  <c r="AG47" i="3" l="1"/>
  <c r="V48" i="3" l="1"/>
  <c r="AB48" i="3"/>
  <c r="Y48" i="3" l="1"/>
  <c r="AC48" i="3" s="1"/>
  <c r="Z48" i="3"/>
  <c r="AF48" i="3"/>
  <c r="AE48" i="3"/>
  <c r="AD48" i="3"/>
  <c r="AG48" i="3" l="1"/>
  <c r="V49" i="3" l="1"/>
  <c r="AB49" i="3"/>
  <c r="AE49" i="3" l="1"/>
  <c r="Y49" i="3"/>
  <c r="AC49" i="3" s="1"/>
  <c r="AF49" i="3"/>
  <c r="AD49" i="3"/>
  <c r="Z49" i="3"/>
  <c r="AG49" i="3" l="1"/>
  <c r="AB50" i="3"/>
  <c r="V50" i="3"/>
  <c r="Y50" i="3" l="1"/>
  <c r="AC50" i="3" s="1"/>
  <c r="Z50" i="3"/>
  <c r="AF50" i="3"/>
  <c r="AE50" i="3"/>
  <c r="AD50" i="3"/>
  <c r="AG50" i="3" l="1"/>
  <c r="V51" i="3" l="1"/>
  <c r="AB51" i="3"/>
  <c r="Y51" i="3" l="1"/>
  <c r="AC51" i="3" s="1"/>
  <c r="Z51" i="3"/>
  <c r="AF51" i="3"/>
  <c r="AE51" i="3"/>
  <c r="AD51" i="3"/>
  <c r="AG51" i="3" l="1"/>
  <c r="V52" i="3"/>
  <c r="Y52" i="3" l="1"/>
  <c r="AC52" i="3" s="1"/>
  <c r="Z52" i="3"/>
  <c r="AD52" i="3"/>
  <c r="AF52" i="3"/>
  <c r="AE52" i="3"/>
  <c r="AB52" i="3"/>
  <c r="AG52" i="3" l="1"/>
  <c r="V53" i="3" l="1"/>
  <c r="Y53" i="3" s="1"/>
  <c r="AC53" i="3" s="1"/>
  <c r="AB53" i="3"/>
  <c r="Z53" i="3" l="1"/>
  <c r="AE53" i="3"/>
  <c r="AF53" i="3"/>
  <c r="AD53" i="3"/>
  <c r="AG53" i="3" l="1"/>
  <c r="AB54" i="3"/>
  <c r="V54" i="3" l="1"/>
  <c r="Y54" i="3" l="1"/>
  <c r="AC54" i="3" s="1"/>
  <c r="Z54" i="3"/>
  <c r="AF54" i="3"/>
  <c r="AE54" i="3"/>
  <c r="AD54" i="3"/>
  <c r="AG54" i="3" l="1"/>
  <c r="V55" i="3" l="1"/>
  <c r="AB55" i="3"/>
  <c r="Y55" i="3" l="1"/>
  <c r="AC55" i="3" s="1"/>
  <c r="Z55" i="3"/>
  <c r="AE55" i="3"/>
  <c r="AF55" i="3"/>
  <c r="AD55" i="3"/>
  <c r="AG55" i="3" l="1"/>
  <c r="V56" i="3" l="1"/>
  <c r="AB56" i="3"/>
  <c r="Y56" i="3" l="1"/>
  <c r="AC56" i="3" s="1"/>
  <c r="Z56" i="3"/>
  <c r="AE56" i="3"/>
  <c r="AF56" i="3"/>
  <c r="AD56" i="3"/>
  <c r="AG56" i="3" l="1"/>
  <c r="V57" i="3"/>
  <c r="AE57" i="3" l="1"/>
  <c r="Y57" i="3"/>
  <c r="AC57" i="3" s="1"/>
  <c r="AF57" i="3"/>
  <c r="Z57" i="3"/>
  <c r="AD57" i="3"/>
  <c r="AB57" i="3"/>
  <c r="AG57" i="3" l="1"/>
  <c r="V58" i="3" l="1"/>
  <c r="AB58" i="3"/>
  <c r="Z58" i="3" l="1"/>
  <c r="Y58" i="3"/>
  <c r="AC58" i="3" s="1"/>
  <c r="AF58" i="3"/>
  <c r="AD58" i="3"/>
  <c r="AE58" i="3"/>
  <c r="V59" i="3"/>
  <c r="AG58" i="3" l="1"/>
  <c r="Z59" i="3"/>
  <c r="AE59" i="3"/>
  <c r="AF59" i="3"/>
  <c r="AD59" i="3"/>
  <c r="Y59" i="3"/>
  <c r="AC59" i="3" s="1"/>
  <c r="AB59" i="3"/>
  <c r="AG59" i="3" l="1"/>
  <c r="V60" i="3" l="1"/>
  <c r="AB60" i="3"/>
  <c r="Y60" i="3" l="1"/>
  <c r="AC60" i="3" s="1"/>
  <c r="Z60" i="3"/>
  <c r="AF60" i="3"/>
  <c r="AE60" i="3"/>
  <c r="AD60" i="3"/>
  <c r="AG60" i="3" l="1"/>
  <c r="AB61" i="3"/>
  <c r="V61" i="3" l="1"/>
  <c r="Y61" i="3" l="1"/>
  <c r="AC61" i="3" s="1"/>
  <c r="Z61" i="3"/>
  <c r="AF61" i="3"/>
  <c r="AE61" i="3"/>
  <c r="AD61" i="3"/>
  <c r="AG61" i="3" l="1"/>
  <c r="V62" i="3" l="1"/>
  <c r="Y62" i="3" s="1"/>
  <c r="AC62" i="3" s="1"/>
  <c r="AB62" i="3"/>
  <c r="Z62" i="3" l="1"/>
  <c r="AF62" i="3"/>
  <c r="AE62" i="3"/>
  <c r="AD62" i="3"/>
  <c r="AG62" i="3" l="1"/>
  <c r="AB63" i="3" l="1"/>
  <c r="V63" i="3"/>
  <c r="Y63" i="3" l="1"/>
  <c r="AC63" i="3" s="1"/>
  <c r="Z63" i="3"/>
  <c r="AD63" i="3"/>
  <c r="AE63" i="3"/>
  <c r="AF63" i="3"/>
  <c r="AG63" i="3" l="1"/>
  <c r="V64" i="3"/>
  <c r="AF64" i="3" l="1"/>
  <c r="AD64" i="3"/>
  <c r="AE64" i="3"/>
  <c r="AB64" i="3"/>
  <c r="Z64" i="3"/>
  <c r="Y64" i="3"/>
  <c r="AC64" i="3" s="1"/>
  <c r="AG64" i="3" l="1"/>
  <c r="AB65" i="3" l="1"/>
  <c r="V65" i="3"/>
  <c r="Y65" i="3" l="1"/>
  <c r="AC65" i="3" s="1"/>
  <c r="Z65" i="3"/>
  <c r="AF65" i="3"/>
  <c r="AE65" i="3"/>
  <c r="AD65" i="3"/>
  <c r="AG65" i="3" l="1"/>
  <c r="AB66" i="3" l="1"/>
  <c r="V66" i="3"/>
  <c r="Y66" i="3" l="1"/>
  <c r="AC66" i="3" s="1"/>
  <c r="Z66" i="3"/>
  <c r="AF66" i="3"/>
  <c r="AD66" i="3"/>
  <c r="AE66" i="3"/>
  <c r="AG66" i="3" l="1"/>
  <c r="AB67" i="3"/>
  <c r="V67" i="3" l="1"/>
  <c r="Y67" i="3" s="1"/>
  <c r="AC67" i="3" s="1"/>
  <c r="Z67" i="3" l="1"/>
  <c r="AD67" i="3"/>
  <c r="AE67" i="3"/>
  <c r="AF67" i="3"/>
  <c r="AG67" i="3" l="1"/>
  <c r="AB68" i="3" l="1"/>
  <c r="V68" i="3"/>
  <c r="Y68" i="3" l="1"/>
  <c r="AC68" i="3" s="1"/>
  <c r="Z68" i="3"/>
  <c r="AF68" i="3"/>
  <c r="AE68" i="3"/>
  <c r="AD68" i="3"/>
  <c r="AG68" i="3" l="1"/>
  <c r="V69" i="3" l="1"/>
  <c r="AB69" i="3"/>
  <c r="Y69" i="3" l="1"/>
  <c r="AC69" i="3" s="1"/>
  <c r="Z69" i="3"/>
  <c r="AE69" i="3"/>
  <c r="AD69" i="3"/>
  <c r="AF69" i="3"/>
  <c r="AG69" i="3" l="1"/>
  <c r="AB70" i="3"/>
  <c r="V70" i="3" l="1"/>
  <c r="Y70" i="3" s="1"/>
  <c r="AC70" i="3" s="1"/>
  <c r="Z70" i="3" l="1"/>
  <c r="AE70" i="3"/>
  <c r="AF70" i="3"/>
  <c r="AD70" i="3"/>
  <c r="AG70" i="3" l="1"/>
  <c r="V390" i="3"/>
  <c r="V329" i="3"/>
  <c r="V270" i="3"/>
  <c r="V284" i="3"/>
  <c r="V439" i="3"/>
  <c r="V244" i="3"/>
  <c r="V145" i="3"/>
  <c r="V294" i="3"/>
  <c r="V317" i="3"/>
  <c r="V223" i="3"/>
  <c r="V379" i="3"/>
  <c r="V312" i="3"/>
  <c r="V109" i="3"/>
  <c r="V267" i="3"/>
  <c r="V189" i="3"/>
  <c r="V114" i="3"/>
  <c r="Y114" i="3" s="1"/>
  <c r="AC114" i="3" s="1"/>
  <c r="V394" i="3"/>
  <c r="V357" i="3"/>
  <c r="V235" i="3"/>
  <c r="V328" i="3"/>
  <c r="V416" i="3"/>
  <c r="V117" i="3"/>
  <c r="V296" i="3"/>
  <c r="V419" i="3"/>
  <c r="V219" i="3"/>
  <c r="V402" i="3"/>
  <c r="V272" i="3"/>
  <c r="V368" i="3"/>
  <c r="V182" i="3"/>
  <c r="V290" i="3"/>
  <c r="V393" i="3"/>
  <c r="V336" i="3"/>
  <c r="V105" i="3"/>
  <c r="V264" i="3"/>
  <c r="V157" i="3"/>
  <c r="V440" i="3"/>
  <c r="V388" i="3"/>
  <c r="V363" i="3"/>
  <c r="V413" i="3"/>
  <c r="V243" i="3"/>
  <c r="V429" i="3"/>
  <c r="V78" i="3"/>
  <c r="V259" i="3"/>
  <c r="V174" i="3"/>
  <c r="V254" i="3"/>
  <c r="V193" i="3"/>
  <c r="V381" i="3"/>
  <c r="V387" i="3"/>
  <c r="V376" i="3"/>
  <c r="AB178" i="3"/>
  <c r="V76" i="3"/>
  <c r="AU19" i="515"/>
  <c r="V135" i="3"/>
  <c r="V98" i="3"/>
  <c r="V181" i="3"/>
  <c r="Y181" i="3" s="1"/>
  <c r="AC181" i="3" s="1"/>
  <c r="AB184" i="3"/>
  <c r="V346" i="3"/>
  <c r="V246" i="3"/>
  <c r="V91" i="3"/>
  <c r="V271" i="3"/>
  <c r="V227" i="3"/>
  <c r="V392" i="3"/>
  <c r="V190" i="3"/>
  <c r="V173" i="3"/>
  <c r="V323" i="3"/>
  <c r="V321" i="3"/>
  <c r="V433" i="3"/>
  <c r="V176" i="3"/>
  <c r="V343" i="3"/>
  <c r="V120" i="3"/>
  <c r="V207" i="3"/>
  <c r="V201" i="3"/>
  <c r="V408" i="3"/>
  <c r="V93" i="3"/>
  <c r="V414" i="3"/>
  <c r="V205" i="3"/>
  <c r="AU32" i="515"/>
  <c r="V161" i="3"/>
  <c r="V266" i="3"/>
  <c r="AU45" i="515"/>
  <c r="V92" i="3"/>
  <c r="AU37" i="515"/>
  <c r="V421" i="3"/>
  <c r="V130" i="3"/>
  <c r="V380" i="3"/>
  <c r="Y380" i="3" s="1"/>
  <c r="AC380" i="3" s="1"/>
  <c r="AU49" i="515"/>
  <c r="V163" i="3"/>
  <c r="AU35" i="515"/>
  <c r="V248" i="3"/>
  <c r="AU52" i="515"/>
  <c r="V410" i="3"/>
  <c r="V335" i="3"/>
  <c r="V185" i="3"/>
  <c r="Y185" i="3" s="1"/>
  <c r="AC185" i="3" s="1"/>
  <c r="AU25" i="515"/>
  <c r="V87" i="3"/>
  <c r="V435" i="3"/>
  <c r="V106" i="3"/>
  <c r="V250" i="3"/>
  <c r="V242" i="3"/>
  <c r="V228" i="3"/>
  <c r="V232" i="3"/>
  <c r="AF242" i="3" l="1"/>
  <c r="AD390" i="3"/>
  <c r="Z410" i="3"/>
  <c r="Y182" i="3"/>
  <c r="AC182" i="3" s="1"/>
  <c r="Z181" i="3"/>
  <c r="AE181" i="3"/>
  <c r="AF181" i="3"/>
  <c r="AD181" i="3"/>
  <c r="Z182" i="3"/>
  <c r="AF182" i="3"/>
  <c r="AD182" i="3"/>
  <c r="AE182" i="3"/>
  <c r="AB181" i="3"/>
  <c r="AB183" i="3"/>
  <c r="AB179" i="3"/>
  <c r="AB180" i="3"/>
  <c r="AB182" i="3"/>
  <c r="V241" i="3"/>
  <c r="AD241" i="3" s="1"/>
  <c r="AU24" i="515"/>
  <c r="AR24" i="515" s="1"/>
  <c r="AU22" i="515"/>
  <c r="AR22" i="515" s="1"/>
  <c r="AX22" i="515" s="1"/>
  <c r="AU41" i="515"/>
  <c r="AR41" i="515" s="1"/>
  <c r="AU53" i="515"/>
  <c r="AR53" i="515" s="1"/>
  <c r="AX53" i="515" s="1"/>
  <c r="V356" i="3"/>
  <c r="V309" i="3"/>
  <c r="AR56" i="515"/>
  <c r="AD228" i="3"/>
  <c r="Z228" i="3"/>
  <c r="AE228" i="3"/>
  <c r="AF228" i="3"/>
  <c r="Z250" i="3"/>
  <c r="AE250" i="3"/>
  <c r="AD250" i="3"/>
  <c r="AF250" i="3"/>
  <c r="Z185" i="3"/>
  <c r="AE185" i="3"/>
  <c r="AD185" i="3"/>
  <c r="AF185" i="3"/>
  <c r="AR52" i="515"/>
  <c r="AX52" i="515" s="1"/>
  <c r="AR37" i="515"/>
  <c r="AF205" i="3"/>
  <c r="Z205" i="3"/>
  <c r="AE205" i="3"/>
  <c r="AD205" i="3"/>
  <c r="Z201" i="3"/>
  <c r="AE201" i="3"/>
  <c r="AF201" i="3"/>
  <c r="AD201" i="3"/>
  <c r="AE323" i="3"/>
  <c r="AF323" i="3"/>
  <c r="Z323" i="3"/>
  <c r="AD323" i="3"/>
  <c r="AR19" i="515"/>
  <c r="AX19" i="515" s="1"/>
  <c r="AF376" i="3"/>
  <c r="Z376" i="3"/>
  <c r="AE376" i="3"/>
  <c r="AD376" i="3"/>
  <c r="AF106" i="3"/>
  <c r="AE106" i="3"/>
  <c r="Z106" i="3"/>
  <c r="AD106" i="3"/>
  <c r="Z232" i="3"/>
  <c r="AD232" i="3"/>
  <c r="AF232" i="3"/>
  <c r="AE232" i="3"/>
  <c r="AR35" i="515"/>
  <c r="AX35" i="515" s="1"/>
  <c r="Z421" i="3"/>
  <c r="AE421" i="3"/>
  <c r="AD421" i="3"/>
  <c r="AF421" i="3"/>
  <c r="AR45" i="515"/>
  <c r="AX45" i="515" s="1"/>
  <c r="AE161" i="3"/>
  <c r="Z161" i="3"/>
  <c r="AF161" i="3"/>
  <c r="AD161" i="3"/>
  <c r="AR32" i="515"/>
  <c r="AX32" i="515" s="1"/>
  <c r="Z408" i="3"/>
  <c r="AF408" i="3"/>
  <c r="BL51" i="515" s="1"/>
  <c r="AE408" i="3"/>
  <c r="AD408" i="3"/>
  <c r="AE343" i="3"/>
  <c r="AF343" i="3"/>
  <c r="Z343" i="3"/>
  <c r="AD343" i="3"/>
  <c r="AF190" i="3"/>
  <c r="AE190" i="3"/>
  <c r="Z190" i="3"/>
  <c r="AD190" i="3"/>
  <c r="AF227" i="3"/>
  <c r="AE227" i="3"/>
  <c r="Z227" i="3"/>
  <c r="AD227" i="3"/>
  <c r="Z271" i="3"/>
  <c r="AF271" i="3"/>
  <c r="AE271" i="3"/>
  <c r="AD271" i="3"/>
  <c r="AF91" i="3"/>
  <c r="Z91" i="3"/>
  <c r="AE91" i="3"/>
  <c r="AD91" i="3"/>
  <c r="Z346" i="3"/>
  <c r="AF346" i="3"/>
  <c r="AE346" i="3"/>
  <c r="AD346" i="3"/>
  <c r="Z363" i="3"/>
  <c r="AF363" i="3"/>
  <c r="AE363" i="3"/>
  <c r="AD363" i="3"/>
  <c r="AB154" i="3"/>
  <c r="AU20" i="515"/>
  <c r="AB288" i="3"/>
  <c r="V288" i="3"/>
  <c r="AB245" i="3"/>
  <c r="AE435" i="3"/>
  <c r="Z435" i="3"/>
  <c r="AF435" i="3"/>
  <c r="AB187" i="3"/>
  <c r="Z87" i="3"/>
  <c r="AF87" i="3"/>
  <c r="AB365" i="3"/>
  <c r="AB220" i="3"/>
  <c r="Z248" i="3"/>
  <c r="AB342" i="3"/>
  <c r="V342" i="3"/>
  <c r="AB97" i="3"/>
  <c r="V97" i="3"/>
  <c r="Y97" i="3" s="1"/>
  <c r="AC97" i="3" s="1"/>
  <c r="Z163" i="3"/>
  <c r="AB406" i="3"/>
  <c r="AB261" i="3"/>
  <c r="V261" i="3"/>
  <c r="AB352" i="3"/>
  <c r="AB297" i="3"/>
  <c r="AF380" i="3"/>
  <c r="Z380" i="3"/>
  <c r="AE380" i="3"/>
  <c r="AB231" i="3"/>
  <c r="Z130" i="3"/>
  <c r="AF130" i="3"/>
  <c r="AE130" i="3"/>
  <c r="AB188" i="3"/>
  <c r="V188" i="3"/>
  <c r="AB221" i="3"/>
  <c r="V221" i="3"/>
  <c r="AB332" i="3"/>
  <c r="AB172" i="3"/>
  <c r="AB409" i="3"/>
  <c r="AF92" i="3"/>
  <c r="AE92" i="3"/>
  <c r="P14" i="515"/>
  <c r="Z92" i="3"/>
  <c r="AB337" i="3"/>
  <c r="AB206" i="3"/>
  <c r="AB216" i="3"/>
  <c r="AB430" i="3"/>
  <c r="AB283" i="3"/>
  <c r="V283" i="3"/>
  <c r="Z266" i="3"/>
  <c r="AF266" i="3"/>
  <c r="AB375" i="3"/>
  <c r="AB94" i="3"/>
  <c r="V94" i="3"/>
  <c r="AB139" i="3"/>
  <c r="V139" i="3"/>
  <c r="AB209" i="3"/>
  <c r="V209" i="3"/>
  <c r="AB308" i="3"/>
  <c r="AB364" i="3"/>
  <c r="AB133" i="3"/>
  <c r="AB239" i="3"/>
  <c r="V239" i="3"/>
  <c r="AB111" i="3"/>
  <c r="AB299" i="3"/>
  <c r="V299" i="3"/>
  <c r="AB79" i="3"/>
  <c r="V79" i="3"/>
  <c r="AB213" i="3"/>
  <c r="V213" i="3"/>
  <c r="AB225" i="3"/>
  <c r="AB327" i="3"/>
  <c r="AE414" i="3"/>
  <c r="AF414" i="3"/>
  <c r="Z414" i="3"/>
  <c r="AB359" i="3"/>
  <c r="AB123" i="3"/>
  <c r="AB361" i="3"/>
  <c r="AB118" i="3"/>
  <c r="AF93" i="3"/>
  <c r="Z93" i="3"/>
  <c r="AB149" i="3"/>
  <c r="AB131" i="3"/>
  <c r="AB358" i="3"/>
  <c r="AB438" i="3"/>
  <c r="AB89" i="3"/>
  <c r="V89" i="3"/>
  <c r="AB258" i="3"/>
  <c r="V258" i="3"/>
  <c r="AB229" i="3"/>
  <c r="AB99" i="3"/>
  <c r="V99" i="3"/>
  <c r="AB362" i="3"/>
  <c r="AB262" i="3"/>
  <c r="V262" i="3"/>
  <c r="AB307" i="3"/>
  <c r="AB240" i="3"/>
  <c r="AB281" i="3"/>
  <c r="V281" i="3"/>
  <c r="AB268" i="3"/>
  <c r="AB330" i="3"/>
  <c r="AB291" i="3"/>
  <c r="V291" i="3"/>
  <c r="AB295" i="3"/>
  <c r="AU39" i="515"/>
  <c r="AF207" i="3"/>
  <c r="Z207" i="3"/>
  <c r="AE207" i="3"/>
  <c r="AE120" i="3"/>
  <c r="AF120" i="3"/>
  <c r="Z120" i="3"/>
  <c r="AB260" i="3"/>
  <c r="V260" i="3"/>
  <c r="AB422" i="3"/>
  <c r="AB150" i="3"/>
  <c r="V150" i="3"/>
  <c r="AB200" i="3"/>
  <c r="V200" i="3"/>
  <c r="AB159" i="3"/>
  <c r="Z176" i="3"/>
  <c r="AF176" i="3"/>
  <c r="AE176" i="3"/>
  <c r="AB121" i="3"/>
  <c r="Z433" i="3"/>
  <c r="AE433" i="3"/>
  <c r="AB300" i="3"/>
  <c r="V300" i="3"/>
  <c r="AE321" i="3"/>
  <c r="AF321" i="3"/>
  <c r="Z321" i="3"/>
  <c r="AB349" i="3"/>
  <c r="V349" i="3"/>
  <c r="AB86" i="3"/>
  <c r="V86" i="3"/>
  <c r="AB238" i="3"/>
  <c r="AB197" i="3"/>
  <c r="AE173" i="3"/>
  <c r="AF173" i="3"/>
  <c r="Z173" i="3"/>
  <c r="AB195" i="3"/>
  <c r="Z392" i="3"/>
  <c r="AF392" i="3"/>
  <c r="AE392" i="3"/>
  <c r="AB160" i="3"/>
  <c r="AB338" i="3"/>
  <c r="V338" i="3"/>
  <c r="AB151" i="3"/>
  <c r="V151" i="3"/>
  <c r="AB277" i="3"/>
  <c r="V277" i="3"/>
  <c r="AB286" i="3"/>
  <c r="AB304" i="3"/>
  <c r="V304" i="3"/>
  <c r="AB411" i="3"/>
  <c r="V411" i="3"/>
  <c r="AB110" i="3"/>
  <c r="V110" i="3"/>
  <c r="AB162" i="3"/>
  <c r="V162" i="3"/>
  <c r="AB360" i="3"/>
  <c r="V360" i="3"/>
  <c r="Z246" i="3"/>
  <c r="AF246" i="3"/>
  <c r="AE246" i="3"/>
  <c r="AB405" i="3"/>
  <c r="V405" i="3"/>
  <c r="AB437" i="3"/>
  <c r="V437" i="3"/>
  <c r="V184" i="3"/>
  <c r="Y184" i="3" s="1"/>
  <c r="AC184" i="3" s="1"/>
  <c r="AB115" i="3"/>
  <c r="AB166" i="3"/>
  <c r="V166" i="3"/>
  <c r="AB355" i="3"/>
  <c r="V355" i="3"/>
  <c r="AB348" i="3"/>
  <c r="V348" i="3"/>
  <c r="AB196" i="3"/>
  <c r="V196" i="3"/>
  <c r="AB318" i="3"/>
  <c r="V318" i="3"/>
  <c r="AB400" i="3"/>
  <c r="V400" i="3"/>
  <c r="AB204" i="3"/>
  <c r="V204" i="3"/>
  <c r="AB347" i="3"/>
  <c r="V347" i="3"/>
  <c r="AB140" i="3"/>
  <c r="V140" i="3"/>
  <c r="AB224" i="3"/>
  <c r="V224" i="3"/>
  <c r="AB252" i="3"/>
  <c r="V252" i="3"/>
  <c r="AF135" i="3"/>
  <c r="AE135" i="3"/>
  <c r="Z135" i="3"/>
  <c r="AF98" i="3"/>
  <c r="AE98" i="3"/>
  <c r="Z98" i="3"/>
  <c r="AB169" i="3"/>
  <c r="V169" i="3"/>
  <c r="Z76" i="3"/>
  <c r="AF76" i="3"/>
  <c r="AE76" i="3"/>
  <c r="AB353" i="3"/>
  <c r="AB396" i="3"/>
  <c r="AB383" i="3"/>
  <c r="V383" i="3"/>
  <c r="AB370" i="3"/>
  <c r="V370" i="3"/>
  <c r="AB249" i="3"/>
  <c r="V249" i="3"/>
  <c r="AB354" i="3"/>
  <c r="V354" i="3"/>
  <c r="AF387" i="3"/>
  <c r="AE387" i="3"/>
  <c r="Z387" i="3"/>
  <c r="AD387" i="3"/>
  <c r="Z381" i="3"/>
  <c r="AE381" i="3"/>
  <c r="AF381" i="3"/>
  <c r="AD381" i="3"/>
  <c r="AB382" i="3"/>
  <c r="V382" i="3"/>
  <c r="AB218" i="3"/>
  <c r="V218" i="3"/>
  <c r="AB73" i="3"/>
  <c r="V73" i="3"/>
  <c r="AB233" i="3"/>
  <c r="V233" i="3"/>
  <c r="AF259" i="3"/>
  <c r="AE259" i="3"/>
  <c r="Z259" i="3"/>
  <c r="AD259" i="3"/>
  <c r="AB125" i="3"/>
  <c r="V125" i="3"/>
  <c r="AB426" i="3"/>
  <c r="V426" i="3"/>
  <c r="AB436" i="3"/>
  <c r="V436" i="3"/>
  <c r="AB198" i="3"/>
  <c r="V198" i="3"/>
  <c r="Z243" i="3"/>
  <c r="AF243" i="3"/>
  <c r="AE243" i="3"/>
  <c r="AD243" i="3"/>
  <c r="AB170" i="3"/>
  <c r="V170" i="3"/>
  <c r="AF413" i="3"/>
  <c r="AE413" i="3"/>
  <c r="Z413" i="3"/>
  <c r="AD413" i="3"/>
  <c r="AB434" i="3"/>
  <c r="V434" i="3"/>
  <c r="AB305" i="3"/>
  <c r="V305" i="3"/>
  <c r="AB217" i="3"/>
  <c r="V217" i="3"/>
  <c r="AE105" i="3"/>
  <c r="AF105" i="3"/>
  <c r="Z105" i="3"/>
  <c r="AD105" i="3"/>
  <c r="AF117" i="3"/>
  <c r="AE117" i="3"/>
  <c r="Z117" i="3"/>
  <c r="AD117" i="3"/>
  <c r="AF357" i="3"/>
  <c r="Z357" i="3"/>
  <c r="AE357" i="3"/>
  <c r="AD357" i="3"/>
  <c r="Z114" i="3"/>
  <c r="AF114" i="3"/>
  <c r="AE114" i="3"/>
  <c r="AD114" i="3"/>
  <c r="Z189" i="3"/>
  <c r="AE189" i="3"/>
  <c r="AF189" i="3"/>
  <c r="AD189" i="3"/>
  <c r="Z267" i="3"/>
  <c r="AF267" i="3"/>
  <c r="AE267" i="3"/>
  <c r="AD267" i="3"/>
  <c r="Z379" i="3"/>
  <c r="AF379" i="3"/>
  <c r="AE379" i="3"/>
  <c r="AD379" i="3"/>
  <c r="Z284" i="3"/>
  <c r="AE284" i="3"/>
  <c r="AF284" i="3"/>
  <c r="AD284" i="3"/>
  <c r="V71" i="3"/>
  <c r="Y71" i="3" s="1"/>
  <c r="AC71" i="3" s="1"/>
  <c r="AD87" i="3"/>
  <c r="AU28" i="515"/>
  <c r="V337" i="3"/>
  <c r="AE93" i="3"/>
  <c r="V332" i="3"/>
  <c r="AU26" i="515"/>
  <c r="AU40" i="515"/>
  <c r="AU46" i="515"/>
  <c r="AE163" i="3"/>
  <c r="AU48" i="515"/>
  <c r="V430" i="3"/>
  <c r="AU44" i="515"/>
  <c r="AU16" i="515"/>
  <c r="AU29" i="515"/>
  <c r="AD433" i="3"/>
  <c r="AU47" i="515"/>
  <c r="V375" i="3"/>
  <c r="V220" i="3"/>
  <c r="AU18" i="515"/>
  <c r="V216" i="3"/>
  <c r="V123" i="3"/>
  <c r="V361" i="3"/>
  <c r="AE410" i="3"/>
  <c r="V297" i="3"/>
  <c r="V422" i="3"/>
  <c r="V231" i="3"/>
  <c r="V172" i="3"/>
  <c r="Y172" i="3" s="1"/>
  <c r="AC172" i="3" s="1"/>
  <c r="AU34" i="515"/>
  <c r="V409" i="3"/>
  <c r="V286" i="3"/>
  <c r="V115" i="3"/>
  <c r="AB232" i="3"/>
  <c r="Y232" i="3"/>
  <c r="AC232" i="3" s="1"/>
  <c r="AB441" i="3"/>
  <c r="Z242" i="3"/>
  <c r="AE242" i="3"/>
  <c r="AB250" i="3"/>
  <c r="Y250" i="3"/>
  <c r="AC250" i="3" s="1"/>
  <c r="Z335" i="3"/>
  <c r="AE335" i="3"/>
  <c r="AF335" i="3"/>
  <c r="AB177" i="3"/>
  <c r="AB80" i="3"/>
  <c r="AB228" i="3"/>
  <c r="Y228" i="3"/>
  <c r="AC228" i="3" s="1"/>
  <c r="Y242" i="3"/>
  <c r="AC242" i="3" s="1"/>
  <c r="AB242" i="3"/>
  <c r="AB106" i="3"/>
  <c r="Y106" i="3"/>
  <c r="AC106" i="3" s="1"/>
  <c r="Y435" i="3"/>
  <c r="AC435" i="3" s="1"/>
  <c r="AB435" i="3"/>
  <c r="AB87" i="3"/>
  <c r="Y87" i="3"/>
  <c r="AC87" i="3" s="1"/>
  <c r="AB185" i="3"/>
  <c r="AB335" i="3"/>
  <c r="Y335" i="3"/>
  <c r="AC335" i="3" s="1"/>
  <c r="AB276" i="3"/>
  <c r="Y410" i="3"/>
  <c r="AC410" i="3" s="1"/>
  <c r="AB410" i="3"/>
  <c r="AB248" i="3"/>
  <c r="Y248" i="3"/>
  <c r="AC248" i="3" s="1"/>
  <c r="AB168" i="3"/>
  <c r="AB163" i="3"/>
  <c r="Y163" i="3"/>
  <c r="AC163" i="3" s="1"/>
  <c r="AB374" i="3"/>
  <c r="AB102" i="3"/>
  <c r="V102" i="3"/>
  <c r="AB309" i="3"/>
  <c r="AB334" i="3"/>
  <c r="AB380" i="3"/>
  <c r="AB130" i="3"/>
  <c r="Y130" i="3"/>
  <c r="AC130" i="3" s="1"/>
  <c r="AB397" i="3"/>
  <c r="AB427" i="3"/>
  <c r="V427" i="3"/>
  <c r="Y421" i="3"/>
  <c r="AC421" i="3" s="1"/>
  <c r="AB421" i="3"/>
  <c r="AB263" i="3"/>
  <c r="Y92" i="3"/>
  <c r="AC92" i="3" s="1"/>
  <c r="AB92" i="3"/>
  <c r="AB356" i="3"/>
  <c r="AB428" i="3"/>
  <c r="AB279" i="3"/>
  <c r="V279" i="3"/>
  <c r="Y266" i="3"/>
  <c r="AC266" i="3" s="1"/>
  <c r="AB266" i="3"/>
  <c r="AB253" i="3"/>
  <c r="V253" i="3"/>
  <c r="AB77" i="3"/>
  <c r="V77" i="3"/>
  <c r="AB391" i="3"/>
  <c r="V391" i="3"/>
  <c r="Y161" i="3"/>
  <c r="AC161" i="3" s="1"/>
  <c r="AB161" i="3"/>
  <c r="AB156" i="3"/>
  <c r="V156" i="3"/>
  <c r="AB126" i="3"/>
  <c r="V126" i="3"/>
  <c r="AB241" i="3"/>
  <c r="AB205" i="3"/>
  <c r="Y205" i="3"/>
  <c r="AB412" i="3"/>
  <c r="V412" i="3"/>
  <c r="AB310" i="3"/>
  <c r="V310" i="3"/>
  <c r="Y414" i="3"/>
  <c r="AC414" i="3" s="1"/>
  <c r="AB414" i="3"/>
  <c r="AB371" i="3"/>
  <c r="V371" i="3"/>
  <c r="Y93" i="3"/>
  <c r="AB93" i="3"/>
  <c r="AB203" i="3"/>
  <c r="V203" i="3"/>
  <c r="AB377" i="3"/>
  <c r="AB408" i="3"/>
  <c r="Y408" i="3"/>
  <c r="AB81" i="3"/>
  <c r="V81" i="3"/>
  <c r="AB128" i="3"/>
  <c r="V128" i="3"/>
  <c r="AB129" i="3"/>
  <c r="V129" i="3"/>
  <c r="Y201" i="3"/>
  <c r="AC201" i="3" s="1"/>
  <c r="AB201" i="3"/>
  <c r="AB207" i="3"/>
  <c r="Y207" i="3"/>
  <c r="AC207" i="3" s="1"/>
  <c r="Y120" i="3"/>
  <c r="AC120" i="3" s="1"/>
  <c r="AB120" i="3"/>
  <c r="AB367" i="3"/>
  <c r="V367" i="3"/>
  <c r="AB343" i="3"/>
  <c r="Y343" i="3"/>
  <c r="AC343" i="3" s="1"/>
  <c r="Y176" i="3"/>
  <c r="AC176" i="3" s="1"/>
  <c r="AB176" i="3"/>
  <c r="AB433" i="3"/>
  <c r="Y433" i="3"/>
  <c r="AU55" i="515"/>
  <c r="AB292" i="3"/>
  <c r="V292" i="3"/>
  <c r="AB141" i="3"/>
  <c r="V141" i="3"/>
  <c r="AB321" i="3"/>
  <c r="Y321" i="3"/>
  <c r="AB316" i="3"/>
  <c r="V316" i="3"/>
  <c r="AB323" i="3"/>
  <c r="Y323" i="3"/>
  <c r="AC323" i="3" s="1"/>
  <c r="AB186" i="3"/>
  <c r="V186" i="3"/>
  <c r="AB173" i="3"/>
  <c r="Y173" i="3"/>
  <c r="AC173" i="3" s="1"/>
  <c r="AB192" i="3"/>
  <c r="V192" i="3"/>
  <c r="AB211" i="3"/>
  <c r="V211" i="3"/>
  <c r="AB190" i="3"/>
  <c r="Y190" i="3"/>
  <c r="AC190" i="3" s="1"/>
  <c r="AB274" i="3"/>
  <c r="Y392" i="3"/>
  <c r="AC392" i="3" s="1"/>
  <c r="AB392" i="3"/>
  <c r="AB432" i="3"/>
  <c r="Y227" i="3"/>
  <c r="AB227" i="3"/>
  <c r="AB144" i="3"/>
  <c r="V144" i="3"/>
  <c r="AB420" i="3"/>
  <c r="V420" i="3"/>
  <c r="AB171" i="3"/>
  <c r="Y246" i="3"/>
  <c r="AC246" i="3" s="1"/>
  <c r="AB246" i="3"/>
  <c r="AB251" i="3"/>
  <c r="V251" i="3"/>
  <c r="AB301" i="3"/>
  <c r="V301" i="3"/>
  <c r="AB271" i="3"/>
  <c r="Y271" i="3"/>
  <c r="AC271" i="3" s="1"/>
  <c r="AB403" i="3"/>
  <c r="V403" i="3"/>
  <c r="AB91" i="3"/>
  <c r="Y91" i="3"/>
  <c r="AC91" i="3" s="1"/>
  <c r="AB395" i="3"/>
  <c r="V395" i="3"/>
  <c r="AB214" i="3"/>
  <c r="V214" i="3"/>
  <c r="AB386" i="3"/>
  <c r="V386" i="3"/>
  <c r="AB339" i="3"/>
  <c r="V339" i="3"/>
  <c r="AB210" i="3"/>
  <c r="V210" i="3"/>
  <c r="AB215" i="3"/>
  <c r="V215" i="3"/>
  <c r="AB237" i="3"/>
  <c r="V237" i="3"/>
  <c r="AB398" i="3"/>
  <c r="V398" i="3"/>
  <c r="AB306" i="3"/>
  <c r="V306" i="3"/>
  <c r="AB341" i="3"/>
  <c r="V341" i="3"/>
  <c r="AB112" i="3"/>
  <c r="V112" i="3"/>
  <c r="AB346" i="3"/>
  <c r="Y346" i="3"/>
  <c r="AC346" i="3" s="1"/>
  <c r="AB127" i="3"/>
  <c r="V127" i="3"/>
  <c r="AB202" i="3"/>
  <c r="V202" i="3"/>
  <c r="Y202" i="3" s="1"/>
  <c r="AC202" i="3" s="1"/>
  <c r="AB165" i="3"/>
  <c r="V165" i="3"/>
  <c r="AB366" i="3"/>
  <c r="V366" i="3"/>
  <c r="AB389" i="3"/>
  <c r="V389" i="3"/>
  <c r="AB142" i="3"/>
  <c r="V142" i="3"/>
  <c r="AB124" i="3"/>
  <c r="V124" i="3"/>
  <c r="AB326" i="3"/>
  <c r="AB282" i="3"/>
  <c r="V282" i="3"/>
  <c r="AB98" i="3"/>
  <c r="Y98" i="3"/>
  <c r="AC98" i="3" s="1"/>
  <c r="AB135" i="3"/>
  <c r="Y135" i="3"/>
  <c r="AB167" i="3"/>
  <c r="V167" i="3"/>
  <c r="AB76" i="3"/>
  <c r="Y76" i="3"/>
  <c r="AC76" i="3" s="1"/>
  <c r="AB212" i="3"/>
  <c r="AB222" i="3"/>
  <c r="V222" i="3"/>
  <c r="AB376" i="3"/>
  <c r="Y376" i="3"/>
  <c r="AC376" i="3" s="1"/>
  <c r="AB322" i="3"/>
  <c r="V322" i="3"/>
  <c r="AB155" i="3"/>
  <c r="V155" i="3"/>
  <c r="AF193" i="3"/>
  <c r="AE193" i="3"/>
  <c r="Z193" i="3"/>
  <c r="AD193" i="3"/>
  <c r="Z254" i="3"/>
  <c r="AF254" i="3"/>
  <c r="AE254" i="3"/>
  <c r="AD254" i="3"/>
  <c r="AB287" i="3"/>
  <c r="V287" i="3"/>
  <c r="AB72" i="3"/>
  <c r="Z78" i="3"/>
  <c r="AF78" i="3"/>
  <c r="AE78" i="3"/>
  <c r="AD78" i="3"/>
  <c r="AB152" i="3"/>
  <c r="V152" i="3"/>
  <c r="AB136" i="3"/>
  <c r="V136" i="3"/>
  <c r="AB257" i="3"/>
  <c r="V257" i="3"/>
  <c r="AB401" i="3"/>
  <c r="V401" i="3"/>
  <c r="AB303" i="3"/>
  <c r="V303" i="3"/>
  <c r="AB278" i="3"/>
  <c r="V278" i="3"/>
  <c r="AB363" i="3"/>
  <c r="Y363" i="3"/>
  <c r="AC363" i="3" s="1"/>
  <c r="Z388" i="3"/>
  <c r="AF388" i="3"/>
  <c r="AE388" i="3"/>
  <c r="AD388" i="3"/>
  <c r="AB373" i="3"/>
  <c r="V373" i="3"/>
  <c r="Z440" i="3"/>
  <c r="AF440" i="3"/>
  <c r="AE440" i="3"/>
  <c r="AD440" i="3"/>
  <c r="AF157" i="3"/>
  <c r="AE157" i="3"/>
  <c r="Z157" i="3"/>
  <c r="AD157" i="3"/>
  <c r="AB331" i="3"/>
  <c r="V331" i="3"/>
  <c r="AF264" i="3"/>
  <c r="Z264" i="3"/>
  <c r="AE264" i="3"/>
  <c r="AD264" i="3"/>
  <c r="AB153" i="3"/>
  <c r="V153" i="3"/>
  <c r="AB384" i="3"/>
  <c r="V384" i="3"/>
  <c r="AE419" i="3"/>
  <c r="AF419" i="3"/>
  <c r="Z419" i="3"/>
  <c r="AD419" i="3"/>
  <c r="AE394" i="3"/>
  <c r="AF394" i="3"/>
  <c r="Z394" i="3"/>
  <c r="AD394" i="3"/>
  <c r="AE312" i="3"/>
  <c r="AF312" i="3"/>
  <c r="Z312" i="3"/>
  <c r="AD312" i="3"/>
  <c r="AF223" i="3"/>
  <c r="AE223" i="3"/>
  <c r="Z223" i="3"/>
  <c r="AD223" i="3"/>
  <c r="Z145" i="3"/>
  <c r="AE145" i="3"/>
  <c r="AF145" i="3"/>
  <c r="AD145" i="3"/>
  <c r="AE439" i="3"/>
  <c r="Z439" i="3"/>
  <c r="AF439" i="3"/>
  <c r="AD439" i="3"/>
  <c r="AF329" i="3"/>
  <c r="Z329" i="3"/>
  <c r="AE329" i="3"/>
  <c r="AD329" i="3"/>
  <c r="V441" i="3"/>
  <c r="P56" i="515" s="1"/>
  <c r="V154" i="3"/>
  <c r="AB71" i="3"/>
  <c r="AD242" i="3"/>
  <c r="AU36" i="515"/>
  <c r="V245" i="3"/>
  <c r="AD435" i="3"/>
  <c r="V187" i="3"/>
  <c r="AR25" i="515"/>
  <c r="AD335" i="3"/>
  <c r="AF410" i="3"/>
  <c r="AD248" i="3"/>
  <c r="AD163" i="3"/>
  <c r="AR49" i="515"/>
  <c r="V406" i="3"/>
  <c r="V352" i="3"/>
  <c r="AD380" i="3"/>
  <c r="AE248" i="3"/>
  <c r="AU33" i="515"/>
  <c r="AD130" i="3"/>
  <c r="V168" i="3"/>
  <c r="Y168" i="3" s="1"/>
  <c r="AC168" i="3" s="1"/>
  <c r="AU43" i="515"/>
  <c r="AU23" i="515"/>
  <c r="AU51" i="515"/>
  <c r="AD92" i="3"/>
  <c r="V206" i="3"/>
  <c r="AU54" i="515"/>
  <c r="AD266" i="3"/>
  <c r="V364" i="3"/>
  <c r="Y364" i="3" s="1"/>
  <c r="AC364" i="3" s="1"/>
  <c r="V133" i="3"/>
  <c r="V80" i="3"/>
  <c r="V225" i="3"/>
  <c r="V327" i="3"/>
  <c r="AD414" i="3"/>
  <c r="V428" i="3"/>
  <c r="V308" i="3"/>
  <c r="AU13" i="515"/>
  <c r="AU12" i="515"/>
  <c r="V118" i="3"/>
  <c r="Y118" i="3" s="1"/>
  <c r="AC118" i="3" s="1"/>
  <c r="AD93" i="3"/>
  <c r="V149" i="3"/>
  <c r="AU11" i="515"/>
  <c r="AU38" i="515"/>
  <c r="AU17" i="515"/>
  <c r="V358" i="3"/>
  <c r="V438" i="3"/>
  <c r="V131" i="3"/>
  <c r="V276" i="3"/>
  <c r="V362" i="3"/>
  <c r="Y362" i="3" s="1"/>
  <c r="AC362" i="3" s="1"/>
  <c r="AD410" i="3"/>
  <c r="V240" i="3"/>
  <c r="V268" i="3"/>
  <c r="V330" i="3"/>
  <c r="V374" i="3"/>
  <c r="V295" i="3"/>
  <c r="AU14" i="515"/>
  <c r="AD207" i="3"/>
  <c r="AD120" i="3"/>
  <c r="V159" i="3"/>
  <c r="V365" i="3"/>
  <c r="AD176" i="3"/>
  <c r="AF433" i="3"/>
  <c r="AD321" i="3"/>
  <c r="V238" i="3"/>
  <c r="V359" i="3"/>
  <c r="Y359" i="3" s="1"/>
  <c r="AD173" i="3"/>
  <c r="AU27" i="515"/>
  <c r="AD392" i="3"/>
  <c r="AU31" i="515"/>
  <c r="AU15" i="515"/>
  <c r="V195" i="3"/>
  <c r="AU21" i="515"/>
  <c r="V177" i="3"/>
  <c r="V334" i="3"/>
  <c r="V397" i="3"/>
  <c r="AE87" i="3"/>
  <c r="V263" i="3"/>
  <c r="AD246" i="3"/>
  <c r="V111" i="3"/>
  <c r="AU42" i="515"/>
  <c r="V377" i="3"/>
  <c r="Y377" i="3" s="1"/>
  <c r="AC377" i="3" s="1"/>
  <c r="V229" i="3"/>
  <c r="V307" i="3"/>
  <c r="V121" i="3"/>
  <c r="V197" i="3"/>
  <c r="AF248" i="3"/>
  <c r="AD135" i="3"/>
  <c r="AD98" i="3"/>
  <c r="V432" i="3"/>
  <c r="AD76" i="3"/>
  <c r="AU30" i="515"/>
  <c r="AU50" i="515"/>
  <c r="V178" i="3"/>
  <c r="V353" i="3"/>
  <c r="V396" i="3"/>
  <c r="Y396" i="3" s="1"/>
  <c r="AC396" i="3" s="1"/>
  <c r="V171" i="3"/>
  <c r="AE266" i="3"/>
  <c r="AF163" i="3"/>
  <c r="V160" i="3"/>
  <c r="V72" i="3"/>
  <c r="V326" i="3"/>
  <c r="Y326" i="3" s="1"/>
  <c r="V274" i="3"/>
  <c r="V212" i="3"/>
  <c r="AB236" i="3"/>
  <c r="Z429" i="3"/>
  <c r="AF429" i="3"/>
  <c r="AE429" i="3"/>
  <c r="AE174" i="3"/>
  <c r="Z174" i="3"/>
  <c r="AF174" i="3"/>
  <c r="AB96" i="3"/>
  <c r="AB324" i="3"/>
  <c r="AE290" i="3"/>
  <c r="Z290" i="3"/>
  <c r="AF290" i="3"/>
  <c r="AF336" i="3"/>
  <c r="Z336" i="3"/>
  <c r="AE336" i="3"/>
  <c r="AE368" i="3"/>
  <c r="AF368" i="3"/>
  <c r="Z368" i="3"/>
  <c r="AF272" i="3"/>
  <c r="Z272" i="3"/>
  <c r="AE272" i="3"/>
  <c r="AF393" i="3"/>
  <c r="AE393" i="3"/>
  <c r="Z393" i="3"/>
  <c r="AB107" i="3"/>
  <c r="Z402" i="3"/>
  <c r="AF402" i="3"/>
  <c r="AE402" i="3"/>
  <c r="AF219" i="3"/>
  <c r="Z219" i="3"/>
  <c r="AE219" i="3"/>
  <c r="AB313" i="3"/>
  <c r="AF296" i="3"/>
  <c r="AE296" i="3"/>
  <c r="Z296" i="3"/>
  <c r="AB148" i="3"/>
  <c r="AB319" i="3"/>
  <c r="AB423" i="3"/>
  <c r="AF416" i="3"/>
  <c r="Z416" i="3"/>
  <c r="AE416" i="3"/>
  <c r="AB108" i="3"/>
  <c r="AE328" i="3"/>
  <c r="Z328" i="3"/>
  <c r="AF328" i="3"/>
  <c r="AB293" i="3"/>
  <c r="AB101" i="3"/>
  <c r="AB95" i="3"/>
  <c r="Z235" i="3"/>
  <c r="AE235" i="3"/>
  <c r="AF235" i="3"/>
  <c r="AB385" i="3"/>
  <c r="AB320" i="3"/>
  <c r="AB84" i="3"/>
  <c r="AB415" i="3"/>
  <c r="AB164" i="3"/>
  <c r="V164" i="3"/>
  <c r="AB199" i="3"/>
  <c r="AB315" i="3"/>
  <c r="AB285" i="3"/>
  <c r="AB247" i="3"/>
  <c r="AB424" i="3"/>
  <c r="AB265" i="3"/>
  <c r="AB122" i="3"/>
  <c r="AB350" i="3"/>
  <c r="AB230" i="3"/>
  <c r="AB138" i="3"/>
  <c r="AB137" i="3"/>
  <c r="Z109" i="3"/>
  <c r="AF109" i="3"/>
  <c r="AE109" i="3"/>
  <c r="AB275" i="3"/>
  <c r="AB191" i="3"/>
  <c r="AB269" i="3"/>
  <c r="AB113" i="3"/>
  <c r="AB399" i="3"/>
  <c r="V399" i="3"/>
  <c r="AF294" i="3"/>
  <c r="Z294" i="3"/>
  <c r="AE294" i="3"/>
  <c r="AB417" i="3"/>
  <c r="AB82" i="3"/>
  <c r="AB418" i="3"/>
  <c r="AB208" i="3"/>
  <c r="AB88" i="3"/>
  <c r="Z244" i="3"/>
  <c r="AF244" i="3"/>
  <c r="AE244" i="3"/>
  <c r="AB325" i="3"/>
  <c r="AE317" i="3"/>
  <c r="AF317" i="3"/>
  <c r="Z317" i="3"/>
  <c r="AE270" i="3"/>
  <c r="Z270" i="3"/>
  <c r="AF270" i="3"/>
  <c r="AB333" i="3"/>
  <c r="AB234" i="3"/>
  <c r="AB404" i="3"/>
  <c r="V404" i="3"/>
  <c r="AB85" i="3"/>
  <c r="AB407" i="3"/>
  <c r="V236" i="3"/>
  <c r="V424" i="3"/>
  <c r="V108" i="3"/>
  <c r="V183" i="3"/>
  <c r="V96" i="3"/>
  <c r="V208" i="3"/>
  <c r="V320" i="3"/>
  <c r="Y320" i="3" s="1"/>
  <c r="AC320" i="3" s="1"/>
  <c r="V88" i="3"/>
  <c r="V417" i="3"/>
  <c r="V418" i="3"/>
  <c r="Y418" i="3" s="1"/>
  <c r="AC418" i="3" s="1"/>
  <c r="V82" i="3"/>
  <c r="V85" i="3"/>
  <c r="Y85" i="3" s="1"/>
  <c r="AC85" i="3" s="1"/>
  <c r="V234" i="3"/>
  <c r="V275" i="3"/>
  <c r="Y275" i="3" s="1"/>
  <c r="AC275" i="3" s="1"/>
  <c r="V199" i="3"/>
  <c r="AB254" i="3"/>
  <c r="Y254" i="3"/>
  <c r="AC254" i="3" s="1"/>
  <c r="AB378" i="3"/>
  <c r="AB387" i="3"/>
  <c r="Y387" i="3"/>
  <c r="AC387" i="3" s="1"/>
  <c r="AB381" i="3"/>
  <c r="Y381" i="3"/>
  <c r="AC381" i="3" s="1"/>
  <c r="AB193" i="3"/>
  <c r="Y193" i="3"/>
  <c r="AC193" i="3" s="1"/>
  <c r="AB344" i="3"/>
  <c r="AB226" i="3"/>
  <c r="Y174" i="3"/>
  <c r="AB174" i="3"/>
  <c r="Y259" i="3"/>
  <c r="AC259" i="3" s="1"/>
  <c r="AB259" i="3"/>
  <c r="AB83" i="3"/>
  <c r="Y78" i="3"/>
  <c r="AC78" i="3" s="1"/>
  <c r="AB78" i="3"/>
  <c r="AB440" i="3"/>
  <c r="Y440" i="3"/>
  <c r="AC440" i="3" s="1"/>
  <c r="Y429" i="3"/>
  <c r="AC429" i="3" s="1"/>
  <c r="AB429" i="3"/>
  <c r="AB255" i="3"/>
  <c r="AB103" i="3"/>
  <c r="AB243" i="3"/>
  <c r="Y243" i="3"/>
  <c r="Y413" i="3"/>
  <c r="AC413" i="3" s="1"/>
  <c r="AB413" i="3"/>
  <c r="AB345" i="3"/>
  <c r="Y388" i="3"/>
  <c r="AC388" i="3" s="1"/>
  <c r="AB388" i="3"/>
  <c r="AB147" i="3"/>
  <c r="Y157" i="3"/>
  <c r="AB157" i="3"/>
  <c r="AB264" i="3"/>
  <c r="Y264" i="3"/>
  <c r="Y105" i="3"/>
  <c r="AC105" i="3" s="1"/>
  <c r="AB105" i="3"/>
  <c r="AB175" i="3"/>
  <c r="AB194" i="3"/>
  <c r="AB256" i="3"/>
  <c r="Y336" i="3"/>
  <c r="AC336" i="3" s="1"/>
  <c r="AB336" i="3"/>
  <c r="AB393" i="3"/>
  <c r="Y393" i="3"/>
  <c r="AC393" i="3" s="1"/>
  <c r="Y290" i="3"/>
  <c r="AC290" i="3" s="1"/>
  <c r="AB290" i="3"/>
  <c r="Y368" i="3"/>
  <c r="AB368" i="3"/>
  <c r="Y272" i="3"/>
  <c r="AC272" i="3" s="1"/>
  <c r="AB272" i="3"/>
  <c r="AB158" i="3"/>
  <c r="Y402" i="3"/>
  <c r="AC402" i="3" s="1"/>
  <c r="AB402" i="3"/>
  <c r="AB219" i="3"/>
  <c r="Y219" i="3"/>
  <c r="Y419" i="3"/>
  <c r="AC419" i="3" s="1"/>
  <c r="AB419" i="3"/>
  <c r="AB296" i="3"/>
  <c r="Y296" i="3"/>
  <c r="AC296" i="3" s="1"/>
  <c r="AB431" i="3"/>
  <c r="Y117" i="3"/>
  <c r="AC117" i="3" s="1"/>
  <c r="AB117" i="3"/>
  <c r="Y416" i="3"/>
  <c r="AC416" i="3" s="1"/>
  <c r="AB416" i="3"/>
  <c r="AB328" i="3"/>
  <c r="Y328" i="3"/>
  <c r="AC328" i="3" s="1"/>
  <c r="AB340" i="3"/>
  <c r="Y235" i="3"/>
  <c r="AC235" i="3" s="1"/>
  <c r="AB235" i="3"/>
  <c r="AB100" i="3"/>
  <c r="AB357" i="3"/>
  <c r="Y357" i="3"/>
  <c r="AC357" i="3" s="1"/>
  <c r="AB311" i="3"/>
  <c r="V311" i="3"/>
  <c r="AB369" i="3"/>
  <c r="Y394" i="3"/>
  <c r="AC394" i="3" s="1"/>
  <c r="AB394" i="3"/>
  <c r="AB74" i="3"/>
  <c r="AB114" i="3"/>
  <c r="AB189" i="3"/>
  <c r="Y189" i="3"/>
  <c r="AC189" i="3" s="1"/>
  <c r="AB119" i="3"/>
  <c r="V119" i="3"/>
  <c r="AB267" i="3"/>
  <c r="Y267" i="3"/>
  <c r="AC267" i="3" s="1"/>
  <c r="Y109" i="3"/>
  <c r="AC109" i="3" s="1"/>
  <c r="AB109" i="3"/>
  <c r="AB134" i="3"/>
  <c r="Y294" i="3"/>
  <c r="AC294" i="3" s="1"/>
  <c r="AB294" i="3"/>
  <c r="Y312" i="3"/>
  <c r="AC312" i="3" s="1"/>
  <c r="AB312" i="3"/>
  <c r="AB143" i="3"/>
  <c r="V143" i="3"/>
  <c r="AB298" i="3"/>
  <c r="AB351" i="3"/>
  <c r="V351" i="3"/>
  <c r="AB280" i="3"/>
  <c r="AB75" i="3"/>
  <c r="Y379" i="3"/>
  <c r="AC379" i="3" s="1"/>
  <c r="AB379" i="3"/>
  <c r="Y223" i="3"/>
  <c r="AC223" i="3" s="1"/>
  <c r="AB223" i="3"/>
  <c r="Y244" i="3"/>
  <c r="AC244" i="3" s="1"/>
  <c r="AB244" i="3"/>
  <c r="AB116" i="3"/>
  <c r="AB104" i="3"/>
  <c r="AB90" i="3"/>
  <c r="AB289" i="3"/>
  <c r="AB317" i="3"/>
  <c r="Y317" i="3"/>
  <c r="AC317" i="3" s="1"/>
  <c r="Y270" i="3"/>
  <c r="AC270" i="3" s="1"/>
  <c r="AB270" i="3"/>
  <c r="AB425" i="3"/>
  <c r="V425" i="3"/>
  <c r="AB145" i="3"/>
  <c r="Y145" i="3"/>
  <c r="AC145" i="3" s="1"/>
  <c r="AB273" i="3"/>
  <c r="V273" i="3"/>
  <c r="AB146" i="3"/>
  <c r="AB439" i="3"/>
  <c r="Y439" i="3"/>
  <c r="AC439" i="3" s="1"/>
  <c r="Y284" i="3"/>
  <c r="AC284" i="3" s="1"/>
  <c r="AB284" i="3"/>
  <c r="AB132" i="3"/>
  <c r="AB314" i="3"/>
  <c r="Y329" i="3"/>
  <c r="AC329" i="3" s="1"/>
  <c r="AB329" i="3"/>
  <c r="AB302" i="3"/>
  <c r="V302" i="3"/>
  <c r="AB372" i="3"/>
  <c r="V372" i="3"/>
  <c r="AD429" i="3"/>
  <c r="AD174" i="3"/>
  <c r="V324" i="3"/>
  <c r="AD290" i="3"/>
  <c r="AD336" i="3"/>
  <c r="AD368" i="3"/>
  <c r="AD272" i="3"/>
  <c r="AD393" i="3"/>
  <c r="V107" i="3"/>
  <c r="Y107" i="3" s="1"/>
  <c r="AC107" i="3" s="1"/>
  <c r="AD402" i="3"/>
  <c r="AD219" i="3"/>
  <c r="V313" i="3"/>
  <c r="AD296" i="3"/>
  <c r="V319" i="3"/>
  <c r="V423" i="3"/>
  <c r="AD416" i="3"/>
  <c r="AD328" i="3"/>
  <c r="V293" i="3"/>
  <c r="V101" i="3"/>
  <c r="V95" i="3"/>
  <c r="Y95" i="3" s="1"/>
  <c r="AC95" i="3" s="1"/>
  <c r="AD235" i="3"/>
  <c r="V194" i="3"/>
  <c r="V84" i="3"/>
  <c r="V415" i="3"/>
  <c r="V315" i="3"/>
  <c r="V344" i="3"/>
  <c r="V247" i="3"/>
  <c r="AD109" i="3"/>
  <c r="V138" i="3"/>
  <c r="V74" i="3"/>
  <c r="V179" i="3"/>
  <c r="V191" i="3"/>
  <c r="Y191" i="3" s="1"/>
  <c r="AC191" i="3" s="1"/>
  <c r="AD294" i="3"/>
  <c r="V269" i="3"/>
  <c r="Y269" i="3" s="1"/>
  <c r="AC269" i="3" s="1"/>
  <c r="V147" i="3"/>
  <c r="Y147" i="3" s="1"/>
  <c r="AC147" i="3" s="1"/>
  <c r="V137" i="3"/>
  <c r="V285" i="3"/>
  <c r="Y285" i="3" s="1"/>
  <c r="AC285" i="3" s="1"/>
  <c r="V180" i="3"/>
  <c r="V90" i="3"/>
  <c r="Y90" i="3" s="1"/>
  <c r="AC90" i="3" s="1"/>
  <c r="V298" i="3"/>
  <c r="V256" i="3"/>
  <c r="V431" i="3"/>
  <c r="AD244" i="3"/>
  <c r="V340" i="3"/>
  <c r="V104" i="3"/>
  <c r="V385" i="3"/>
  <c r="Y385" i="3" s="1"/>
  <c r="AC385" i="3" s="1"/>
  <c r="V255" i="3"/>
  <c r="V83" i="3"/>
  <c r="V100" i="3"/>
  <c r="Y100" i="3" s="1"/>
  <c r="AC100" i="3" s="1"/>
  <c r="V230" i="3"/>
  <c r="V280" i="3"/>
  <c r="AD317" i="3"/>
  <c r="AD270" i="3"/>
  <c r="V75" i="3"/>
  <c r="V333" i="3"/>
  <c r="Y333" i="3" s="1"/>
  <c r="AC333" i="3" s="1"/>
  <c r="V378" i="3"/>
  <c r="V265" i="3"/>
  <c r="V103" i="3"/>
  <c r="V113" i="3"/>
  <c r="Y113" i="3" s="1"/>
  <c r="AC113" i="3" s="1"/>
  <c r="V132" i="3"/>
  <c r="V148" i="3"/>
  <c r="V122" i="3"/>
  <c r="V350" i="3"/>
  <c r="V407" i="3"/>
  <c r="V369" i="3"/>
  <c r="V325" i="3"/>
  <c r="V175" i="3"/>
  <c r="Y175" i="3" s="1"/>
  <c r="AC175" i="3" s="1"/>
  <c r="V146" i="3"/>
  <c r="V116" i="3"/>
  <c r="V134" i="3"/>
  <c r="V345" i="3"/>
  <c r="Y345" i="3" s="1"/>
  <c r="AC345" i="3" s="1"/>
  <c r="V158" i="3"/>
  <c r="V226" i="3"/>
  <c r="V314" i="3"/>
  <c r="V289" i="3"/>
  <c r="Y390" i="3"/>
  <c r="AC390" i="3" s="1"/>
  <c r="AB390" i="3"/>
  <c r="Z390" i="3"/>
  <c r="AF390" i="3"/>
  <c r="AE390" i="3"/>
  <c r="AF241" i="3" l="1"/>
  <c r="Y183" i="3"/>
  <c r="AC183" i="3" s="1"/>
  <c r="Y245" i="3"/>
  <c r="AC245" i="3" s="1"/>
  <c r="AJ34" i="515" s="1"/>
  <c r="Y216" i="3"/>
  <c r="AC216" i="3" s="1"/>
  <c r="Y268" i="3"/>
  <c r="AC268" i="3" s="1"/>
  <c r="Y220" i="3"/>
  <c r="AC220" i="3" s="1"/>
  <c r="Y178" i="3"/>
  <c r="AC178" i="3" s="1"/>
  <c r="AI23" i="515" s="1"/>
  <c r="Y195" i="3"/>
  <c r="AC195" i="3" s="1"/>
  <c r="Y159" i="3"/>
  <c r="AC159" i="3" s="1"/>
  <c r="Y409" i="3"/>
  <c r="AC409" i="3" s="1"/>
  <c r="Y123" i="3"/>
  <c r="AC123" i="3" s="1"/>
  <c r="Y375" i="3"/>
  <c r="AC375" i="3" s="1"/>
  <c r="Y160" i="3"/>
  <c r="AC160" i="3" s="1"/>
  <c r="Y307" i="3"/>
  <c r="AC307" i="3" s="1"/>
  <c r="Y111" i="3"/>
  <c r="AC111" i="3" s="1"/>
  <c r="Y397" i="3"/>
  <c r="AC397" i="3" s="1"/>
  <c r="Y428" i="3"/>
  <c r="AC428" i="3" s="1"/>
  <c r="Y180" i="3"/>
  <c r="AC180" i="3" s="1"/>
  <c r="AB24" i="515" s="1"/>
  <c r="AC24" i="515" s="1"/>
  <c r="Y226" i="3"/>
  <c r="AC226" i="3" s="1"/>
  <c r="Y116" i="3"/>
  <c r="AC116" i="3" s="1"/>
  <c r="Y369" i="3"/>
  <c r="AC369" i="3" s="1"/>
  <c r="Y406" i="3"/>
  <c r="AC406" i="3" s="1"/>
  <c r="Y303" i="3"/>
  <c r="AC303" i="3" s="1"/>
  <c r="Y341" i="3"/>
  <c r="AC341" i="3" s="1"/>
  <c r="Y170" i="3"/>
  <c r="AC170" i="3" s="1"/>
  <c r="Y125" i="3"/>
  <c r="AC125" i="3" s="1"/>
  <c r="Y360" i="3"/>
  <c r="AC360" i="3" s="1"/>
  <c r="Y151" i="3"/>
  <c r="AC151" i="3" s="1"/>
  <c r="Y86" i="3"/>
  <c r="AC86" i="3" s="1"/>
  <c r="Y281" i="3"/>
  <c r="AC281" i="3" s="1"/>
  <c r="Y283" i="3"/>
  <c r="AC283" i="3" s="1"/>
  <c r="Y197" i="3"/>
  <c r="AC197" i="3" s="1"/>
  <c r="Y177" i="3"/>
  <c r="AC177" i="3" s="1"/>
  <c r="Y358" i="3"/>
  <c r="N47" i="515" s="1"/>
  <c r="Y149" i="3"/>
  <c r="AC149" i="3" s="1"/>
  <c r="AC433" i="3"/>
  <c r="N14" i="515"/>
  <c r="AC93" i="3"/>
  <c r="AB14" i="515" s="1"/>
  <c r="AC14" i="515" s="1"/>
  <c r="AC205" i="3"/>
  <c r="AC219" i="3"/>
  <c r="AC264" i="3"/>
  <c r="AC243" i="3"/>
  <c r="Y199" i="3"/>
  <c r="AC199" i="3" s="1"/>
  <c r="Y108" i="3"/>
  <c r="AC108" i="3" s="1"/>
  <c r="AC359" i="3"/>
  <c r="AC135" i="3"/>
  <c r="AC227" i="3"/>
  <c r="AH56" i="515"/>
  <c r="AG56" i="515"/>
  <c r="AY56" i="515"/>
  <c r="BA56" i="515"/>
  <c r="AZ56" i="515"/>
  <c r="Y115" i="3"/>
  <c r="AC115" i="3" s="1"/>
  <c r="Y314" i="3"/>
  <c r="AC314" i="3" s="1"/>
  <c r="Y134" i="3"/>
  <c r="AC134" i="3" s="1"/>
  <c r="Y325" i="3"/>
  <c r="AC325" i="3" s="1"/>
  <c r="Y122" i="3"/>
  <c r="AC122" i="3" s="1"/>
  <c r="Y103" i="3"/>
  <c r="AC103" i="3" s="1"/>
  <c r="Y75" i="3"/>
  <c r="AC75" i="3" s="1"/>
  <c r="Y230" i="3"/>
  <c r="AC230" i="3" s="1"/>
  <c r="Y431" i="3"/>
  <c r="AC431" i="3" s="1"/>
  <c r="N24" i="515"/>
  <c r="Y74" i="3"/>
  <c r="AC74" i="3" s="1"/>
  <c r="Y344" i="3"/>
  <c r="AC344" i="3" s="1"/>
  <c r="Y194" i="3"/>
  <c r="AC194" i="3" s="1"/>
  <c r="Y293" i="3"/>
  <c r="AC293" i="3" s="1"/>
  <c r="Y319" i="3"/>
  <c r="AC319" i="3" s="1"/>
  <c r="Y273" i="3"/>
  <c r="AC273" i="3" s="1"/>
  <c r="Y119" i="3"/>
  <c r="AC119" i="3" s="1"/>
  <c r="Y311" i="3"/>
  <c r="AC311" i="3" s="1"/>
  <c r="AC368" i="3"/>
  <c r="AC174" i="3"/>
  <c r="Y208" i="3"/>
  <c r="AC208" i="3" s="1"/>
  <c r="Y424" i="3"/>
  <c r="AC424" i="3" s="1"/>
  <c r="Y399" i="3"/>
  <c r="AC399" i="3" s="1"/>
  <c r="Y72" i="3"/>
  <c r="AC72" i="3" s="1"/>
  <c r="Y171" i="3"/>
  <c r="AC171" i="3" s="1"/>
  <c r="AI22" i="515" s="1"/>
  <c r="Y121" i="3"/>
  <c r="Y238" i="3"/>
  <c r="AC238" i="3" s="1"/>
  <c r="Y365" i="3"/>
  <c r="AC365" i="3" s="1"/>
  <c r="Y276" i="3"/>
  <c r="AC276" i="3" s="1"/>
  <c r="Y308" i="3"/>
  <c r="AC308" i="3" s="1"/>
  <c r="Y225" i="3"/>
  <c r="AC225" i="3" s="1"/>
  <c r="Y352" i="3"/>
  <c r="AC352" i="3" s="1"/>
  <c r="Y187" i="3"/>
  <c r="AC187" i="3" s="1"/>
  <c r="Y384" i="3"/>
  <c r="AC384" i="3" s="1"/>
  <c r="Y401" i="3"/>
  <c r="AC401" i="3" s="1"/>
  <c r="Y322" i="3"/>
  <c r="AC322" i="3" s="1"/>
  <c r="Y167" i="3"/>
  <c r="AC167" i="3" s="1"/>
  <c r="Y124" i="3"/>
  <c r="AC124" i="3" s="1"/>
  <c r="Y165" i="3"/>
  <c r="AC165" i="3" s="1"/>
  <c r="Y306" i="3"/>
  <c r="AC306" i="3" s="1"/>
  <c r="Y210" i="3"/>
  <c r="AC210" i="3" s="1"/>
  <c r="Y395" i="3"/>
  <c r="AC395" i="3" s="1"/>
  <c r="Y420" i="3"/>
  <c r="Y211" i="3"/>
  <c r="AC211" i="3" s="1"/>
  <c r="Y186" i="3"/>
  <c r="AC321" i="3"/>
  <c r="Y129" i="3"/>
  <c r="AC129" i="3" s="1"/>
  <c r="Y427" i="3"/>
  <c r="AC427" i="3" s="1"/>
  <c r="Y102" i="3"/>
  <c r="AC102" i="3" s="1"/>
  <c r="Y286" i="3"/>
  <c r="AC286" i="3" s="1"/>
  <c r="Y231" i="3"/>
  <c r="Y361" i="3"/>
  <c r="AC361" i="3" s="1"/>
  <c r="Y430" i="3"/>
  <c r="Y217" i="3"/>
  <c r="AC217" i="3" s="1"/>
  <c r="Y198" i="3"/>
  <c r="AC198" i="3" s="1"/>
  <c r="Y233" i="3"/>
  <c r="AC233" i="3" s="1"/>
  <c r="Y354" i="3"/>
  <c r="AC354" i="3" s="1"/>
  <c r="Y252" i="3"/>
  <c r="AC252" i="3" s="1"/>
  <c r="Y204" i="3"/>
  <c r="AC204" i="3" s="1"/>
  <c r="Y348" i="3"/>
  <c r="AC348" i="3" s="1"/>
  <c r="Y437" i="3"/>
  <c r="AC437" i="3" s="1"/>
  <c r="Y162" i="3"/>
  <c r="AC162" i="3" s="1"/>
  <c r="Y338" i="3"/>
  <c r="AC338" i="3" s="1"/>
  <c r="Y349" i="3"/>
  <c r="Y262" i="3"/>
  <c r="AC262" i="3" s="1"/>
  <c r="AJ37" i="515" s="1"/>
  <c r="Y79" i="3"/>
  <c r="AC79" i="3" s="1"/>
  <c r="Y188" i="3"/>
  <c r="Y288" i="3"/>
  <c r="AC288" i="3" s="1"/>
  <c r="N51" i="515"/>
  <c r="AC408" i="3"/>
  <c r="AB51" i="515" s="1"/>
  <c r="AC51" i="515" s="1"/>
  <c r="AC157" i="3"/>
  <c r="Y324" i="3"/>
  <c r="AC324" i="3" s="1"/>
  <c r="AB7" i="515"/>
  <c r="AB9" i="515"/>
  <c r="AC9" i="515" s="1"/>
  <c r="AC326" i="3"/>
  <c r="Y137" i="3"/>
  <c r="Y313" i="3"/>
  <c r="AC313" i="3" s="1"/>
  <c r="Y274" i="3"/>
  <c r="AC274" i="3" s="1"/>
  <c r="Y353" i="3"/>
  <c r="AC353" i="3" s="1"/>
  <c r="Y229" i="3"/>
  <c r="AC229" i="3" s="1"/>
  <c r="Y334" i="3"/>
  <c r="AC334" i="3" s="1"/>
  <c r="Y374" i="3"/>
  <c r="AC374" i="3" s="1"/>
  <c r="Y438" i="3"/>
  <c r="AC438" i="3" s="1"/>
  <c r="Y133" i="3"/>
  <c r="AC133" i="3" s="1"/>
  <c r="Y206" i="3"/>
  <c r="AC206" i="3" s="1"/>
  <c r="Y154" i="3"/>
  <c r="AC154" i="3" s="1"/>
  <c r="Y297" i="3"/>
  <c r="AC297" i="3" s="1"/>
  <c r="Y332" i="3"/>
  <c r="AC332" i="3" s="1"/>
  <c r="Y295" i="3"/>
  <c r="AC295" i="3" s="1"/>
  <c r="Y240" i="3"/>
  <c r="Y131" i="3"/>
  <c r="AC131" i="3" s="1"/>
  <c r="Y80" i="3"/>
  <c r="AC80" i="3" s="1"/>
  <c r="Y422" i="3"/>
  <c r="AC422" i="3" s="1"/>
  <c r="Y280" i="3"/>
  <c r="AC280" i="3" s="1"/>
  <c r="Y179" i="3"/>
  <c r="AC179" i="3" s="1"/>
  <c r="Y247" i="3"/>
  <c r="Y84" i="3"/>
  <c r="AC84" i="3" s="1"/>
  <c r="Y101" i="3"/>
  <c r="AC101" i="3" s="1"/>
  <c r="Y423" i="3"/>
  <c r="AC423" i="3" s="1"/>
  <c r="Y82" i="3"/>
  <c r="AC82" i="3" s="1"/>
  <c r="Y164" i="3"/>
  <c r="AC164" i="3" s="1"/>
  <c r="Y432" i="3"/>
  <c r="AC432" i="3" s="1"/>
  <c r="Y263" i="3"/>
  <c r="AC263" i="3" s="1"/>
  <c r="Y330" i="3"/>
  <c r="AC330" i="3" s="1"/>
  <c r="Y327" i="3"/>
  <c r="AC327" i="3" s="1"/>
  <c r="AJ43" i="515" s="1"/>
  <c r="Y257" i="3"/>
  <c r="AC257" i="3" s="1"/>
  <c r="Y282" i="3"/>
  <c r="AC282" i="3" s="1"/>
  <c r="Y142" i="3"/>
  <c r="AC142" i="3" s="1"/>
  <c r="Y398" i="3"/>
  <c r="AC398" i="3" s="1"/>
  <c r="Y339" i="3"/>
  <c r="AC339" i="3" s="1"/>
  <c r="Y144" i="3"/>
  <c r="AC144" i="3" s="1"/>
  <c r="Y192" i="3"/>
  <c r="AC192" i="3" s="1"/>
  <c r="Y367" i="3"/>
  <c r="AC367" i="3" s="1"/>
  <c r="AI48" i="515" s="1"/>
  <c r="Y128" i="3"/>
  <c r="AC128" i="3" s="1"/>
  <c r="Y310" i="3"/>
  <c r="AC310" i="3" s="1"/>
  <c r="Y253" i="3"/>
  <c r="AC253" i="3" s="1"/>
  <c r="Y305" i="3"/>
  <c r="Y436" i="3"/>
  <c r="AC436" i="3" s="1"/>
  <c r="Y73" i="3"/>
  <c r="AC73" i="3" s="1"/>
  <c r="Y249" i="3"/>
  <c r="Y169" i="3"/>
  <c r="AC169" i="3" s="1"/>
  <c r="AJ21" i="515" s="1"/>
  <c r="Y224" i="3"/>
  <c r="AC224" i="3" s="1"/>
  <c r="Y400" i="3"/>
  <c r="AC400" i="3" s="1"/>
  <c r="Y355" i="3"/>
  <c r="AC355" i="3" s="1"/>
  <c r="Y405" i="3"/>
  <c r="AC405" i="3" s="1"/>
  <c r="Y110" i="3"/>
  <c r="AC110" i="3" s="1"/>
  <c r="Y299" i="3"/>
  <c r="AC299" i="3" s="1"/>
  <c r="Y139" i="3"/>
  <c r="Y261" i="3"/>
  <c r="Y342" i="3"/>
  <c r="AC342" i="3" s="1"/>
  <c r="Y289" i="3"/>
  <c r="AC289" i="3" s="1"/>
  <c r="P45" i="515"/>
  <c r="E46" i="39124" s="1"/>
  <c r="Y350" i="3"/>
  <c r="AC350" i="3" s="1"/>
  <c r="Y255" i="3"/>
  <c r="AC255" i="3" s="1"/>
  <c r="Y143" i="3"/>
  <c r="AC143" i="3" s="1"/>
  <c r="P7" i="515"/>
  <c r="AE8" i="39124" s="1"/>
  <c r="E8" i="39124" s="1"/>
  <c r="Y441" i="3"/>
  <c r="Y153" i="3"/>
  <c r="AC153" i="3" s="1"/>
  <c r="AE241" i="3"/>
  <c r="AG241" i="3" s="1"/>
  <c r="AH241" i="3" s="1"/>
  <c r="BI32" i="515" s="1"/>
  <c r="BM32" i="515" s="1"/>
  <c r="Y241" i="3"/>
  <c r="AC241" i="3" s="1"/>
  <c r="Y156" i="3"/>
  <c r="AC156" i="3" s="1"/>
  <c r="Y77" i="3"/>
  <c r="AC77" i="3" s="1"/>
  <c r="Y279" i="3"/>
  <c r="AC279" i="3" s="1"/>
  <c r="W442" i="3"/>
  <c r="Y337" i="3"/>
  <c r="AC337" i="3" s="1"/>
  <c r="Y213" i="3"/>
  <c r="AC213" i="3" s="1"/>
  <c r="P32" i="515"/>
  <c r="AE33" i="39124" s="1"/>
  <c r="Y239" i="3"/>
  <c r="Y209" i="3"/>
  <c r="AC209" i="3" s="1"/>
  <c r="Y148" i="3"/>
  <c r="AC148" i="3" s="1"/>
  <c r="Y315" i="3"/>
  <c r="AC315" i="3" s="1"/>
  <c r="Y234" i="3"/>
  <c r="AC234" i="3" s="1"/>
  <c r="Y417" i="3"/>
  <c r="AC417" i="3" s="1"/>
  <c r="Y96" i="3"/>
  <c r="AC96" i="3" s="1"/>
  <c r="Y236" i="3"/>
  <c r="AC236" i="3" s="1"/>
  <c r="Y404" i="3"/>
  <c r="Y212" i="3"/>
  <c r="AC212" i="3" s="1"/>
  <c r="Y373" i="3"/>
  <c r="AC373" i="3" s="1"/>
  <c r="Y152" i="3"/>
  <c r="AC152" i="3" s="1"/>
  <c r="Y155" i="3"/>
  <c r="AC155" i="3" s="1"/>
  <c r="Y222" i="3"/>
  <c r="AC222" i="3" s="1"/>
  <c r="Y366" i="3"/>
  <c r="AC366" i="3" s="1"/>
  <c r="Y127" i="3"/>
  <c r="AC127" i="3" s="1"/>
  <c r="Y215" i="3"/>
  <c r="AC215" i="3" s="1"/>
  <c r="Y214" i="3"/>
  <c r="AC214" i="3" s="1"/>
  <c r="Y403" i="3"/>
  <c r="AC403" i="3" s="1"/>
  <c r="Y251" i="3"/>
  <c r="AC251" i="3" s="1"/>
  <c r="Y316" i="3"/>
  <c r="AC316" i="3" s="1"/>
  <c r="Y292" i="3"/>
  <c r="AC292" i="3" s="1"/>
  <c r="Y203" i="3"/>
  <c r="AC203" i="3" s="1"/>
  <c r="Y126" i="3"/>
  <c r="AC126" i="3" s="1"/>
  <c r="Y391" i="3"/>
  <c r="AC391" i="3" s="1"/>
  <c r="Y382" i="3"/>
  <c r="AC382" i="3" s="1"/>
  <c r="Y383" i="3"/>
  <c r="AC383" i="3" s="1"/>
  <c r="Y347" i="3"/>
  <c r="AC347" i="3" s="1"/>
  <c r="Y196" i="3"/>
  <c r="Y304" i="3"/>
  <c r="Y150" i="3"/>
  <c r="AC150" i="3" s="1"/>
  <c r="Y99" i="3"/>
  <c r="AC99" i="3" s="1"/>
  <c r="Y89" i="3"/>
  <c r="AC89" i="3" s="1"/>
  <c r="Y221" i="3"/>
  <c r="AC221" i="3" s="1"/>
  <c r="AJ29" i="515" s="1"/>
  <c r="Z309" i="3"/>
  <c r="Y309" i="3"/>
  <c r="AC309" i="3" s="1"/>
  <c r="V442" i="3"/>
  <c r="Y265" i="3"/>
  <c r="AC265" i="3" s="1"/>
  <c r="Y104" i="3"/>
  <c r="AC104" i="3" s="1"/>
  <c r="Y256" i="3"/>
  <c r="AC256" i="3" s="1"/>
  <c r="Y138" i="3"/>
  <c r="AC138" i="3" s="1"/>
  <c r="Y302" i="3"/>
  <c r="AC302" i="3" s="1"/>
  <c r="Y425" i="3"/>
  <c r="AC425" i="3" s="1"/>
  <c r="Y158" i="3"/>
  <c r="AC158" i="3" s="1"/>
  <c r="Y146" i="3"/>
  <c r="AC146" i="3" s="1"/>
  <c r="Y407" i="3"/>
  <c r="AC407" i="3" s="1"/>
  <c r="Y132" i="3"/>
  <c r="AC132" i="3" s="1"/>
  <c r="Y378" i="3"/>
  <c r="AC378" i="3" s="1"/>
  <c r="Y83" i="3"/>
  <c r="AC83" i="3" s="1"/>
  <c r="Y340" i="3"/>
  <c r="AC340" i="3" s="1"/>
  <c r="Y298" i="3"/>
  <c r="AC298" i="3" s="1"/>
  <c r="Y415" i="3"/>
  <c r="AC415" i="3" s="1"/>
  <c r="Y372" i="3"/>
  <c r="AC372" i="3" s="1"/>
  <c r="Y351" i="3"/>
  <c r="Y88" i="3"/>
  <c r="Y331" i="3"/>
  <c r="Y278" i="3"/>
  <c r="AC278" i="3" s="1"/>
  <c r="Y136" i="3"/>
  <c r="AC136" i="3" s="1"/>
  <c r="AI17" i="515" s="1"/>
  <c r="Y287" i="3"/>
  <c r="AC287" i="3" s="1"/>
  <c r="Y389" i="3"/>
  <c r="AC389" i="3" s="1"/>
  <c r="Y112" i="3"/>
  <c r="AC112" i="3" s="1"/>
  <c r="Y237" i="3"/>
  <c r="AC237" i="3" s="1"/>
  <c r="Y386" i="3"/>
  <c r="AC386" i="3" s="1"/>
  <c r="Y301" i="3"/>
  <c r="AC301" i="3" s="1"/>
  <c r="Y141" i="3"/>
  <c r="AC141" i="3" s="1"/>
  <c r="Y81" i="3"/>
  <c r="Y371" i="3"/>
  <c r="AC371" i="3" s="1"/>
  <c r="Y412" i="3"/>
  <c r="AC412" i="3" s="1"/>
  <c r="Y434" i="3"/>
  <c r="AC434" i="3" s="1"/>
  <c r="Y426" i="3"/>
  <c r="AC426" i="3" s="1"/>
  <c r="Y218" i="3"/>
  <c r="AC218" i="3" s="1"/>
  <c r="Y370" i="3"/>
  <c r="AC370" i="3" s="1"/>
  <c r="Y140" i="3"/>
  <c r="AC140" i="3" s="1"/>
  <c r="Y318" i="3"/>
  <c r="AC318" i="3" s="1"/>
  <c r="Y166" i="3"/>
  <c r="Y411" i="3"/>
  <c r="AC411" i="3" s="1"/>
  <c r="Y277" i="3"/>
  <c r="AC277" i="3" s="1"/>
  <c r="Y300" i="3"/>
  <c r="AC300" i="3" s="1"/>
  <c r="Y200" i="3"/>
  <c r="AC200" i="3" s="1"/>
  <c r="Y260" i="3"/>
  <c r="AC260" i="3" s="1"/>
  <c r="Y291" i="3"/>
  <c r="Y258" i="3"/>
  <c r="AC258" i="3" s="1"/>
  <c r="Y94" i="3"/>
  <c r="Z356" i="3"/>
  <c r="Y356" i="3"/>
  <c r="AC356" i="3" s="1"/>
  <c r="AI46" i="515" s="1"/>
  <c r="AD309" i="3"/>
  <c r="AF309" i="3"/>
  <c r="AE309" i="3"/>
  <c r="AG435" i="3"/>
  <c r="AG246" i="3"/>
  <c r="AG120" i="3"/>
  <c r="AG174" i="3"/>
  <c r="AG98" i="3"/>
  <c r="AD356" i="3"/>
  <c r="AF356" i="3"/>
  <c r="AG76" i="3"/>
  <c r="AG173" i="3"/>
  <c r="AG207" i="3"/>
  <c r="AG414" i="3"/>
  <c r="AG176" i="3"/>
  <c r="AG380" i="3"/>
  <c r="Z241" i="3"/>
  <c r="AG392" i="3"/>
  <c r="AG130" i="3"/>
  <c r="AG321" i="3"/>
  <c r="P33" i="515"/>
  <c r="E34" i="39124" s="1"/>
  <c r="AG181" i="3"/>
  <c r="AG294" i="3"/>
  <c r="AG219" i="3"/>
  <c r="AE356" i="3"/>
  <c r="AH47" i="515"/>
  <c r="AG47" i="515"/>
  <c r="AG390" i="3"/>
  <c r="AG35" i="515"/>
  <c r="AH35" i="515"/>
  <c r="AJ35" i="515"/>
  <c r="AG402" i="3"/>
  <c r="AG393" i="3"/>
  <c r="AG368" i="3"/>
  <c r="AG335" i="3"/>
  <c r="P35" i="515"/>
  <c r="E36" i="39124" s="1"/>
  <c r="BL14" i="515"/>
  <c r="BP14" i="515" s="1"/>
  <c r="BK14" i="515"/>
  <c r="BO14" i="515" s="1"/>
  <c r="AG40" i="515"/>
  <c r="AH40" i="515"/>
  <c r="AG14" i="515"/>
  <c r="AH14" i="515"/>
  <c r="AJ14" i="515"/>
  <c r="Z179" i="3"/>
  <c r="AE179" i="3"/>
  <c r="AF179" i="3"/>
  <c r="AD179" i="3"/>
  <c r="Z180" i="3"/>
  <c r="AF180" i="3"/>
  <c r="AD180" i="3"/>
  <c r="AE180" i="3"/>
  <c r="AF178" i="3"/>
  <c r="AD178" i="3"/>
  <c r="AE178" i="3"/>
  <c r="AG182" i="3"/>
  <c r="Z183" i="3"/>
  <c r="AE183" i="3"/>
  <c r="AF183" i="3"/>
  <c r="AD183" i="3"/>
  <c r="Z184" i="3"/>
  <c r="AF184" i="3"/>
  <c r="AD184" i="3"/>
  <c r="AE184" i="3"/>
  <c r="AH17" i="515"/>
  <c r="AJ17" i="515"/>
  <c r="AG17" i="515"/>
  <c r="AH54" i="515"/>
  <c r="AG54" i="515"/>
  <c r="AG28" i="515"/>
  <c r="AH28" i="515"/>
  <c r="AH55" i="515"/>
  <c r="AG55" i="515"/>
  <c r="AH15" i="515"/>
  <c r="AG15" i="515"/>
  <c r="AG41" i="515"/>
  <c r="AH41" i="515"/>
  <c r="AH38" i="515"/>
  <c r="AG38" i="515"/>
  <c r="AH12" i="515"/>
  <c r="AG12" i="515"/>
  <c r="AH31" i="515"/>
  <c r="AG31" i="515"/>
  <c r="AH39" i="515"/>
  <c r="AG39" i="515"/>
  <c r="AI30" i="515"/>
  <c r="AH30" i="515"/>
  <c r="AG30" i="515"/>
  <c r="AH46" i="515"/>
  <c r="AG46" i="515"/>
  <c r="AG42" i="515"/>
  <c r="AI42" i="515"/>
  <c r="AH42" i="515"/>
  <c r="AG29" i="515"/>
  <c r="AH29" i="515"/>
  <c r="AG48" i="515"/>
  <c r="AH48" i="515"/>
  <c r="AG34" i="515"/>
  <c r="AH34" i="515"/>
  <c r="AG20" i="515"/>
  <c r="AH20" i="515"/>
  <c r="AG161" i="3"/>
  <c r="AG323" i="3"/>
  <c r="AG18" i="515"/>
  <c r="AH18" i="515"/>
  <c r="AG45" i="515"/>
  <c r="AH45" i="515"/>
  <c r="AJ45" i="515"/>
  <c r="AG19" i="515"/>
  <c r="AH19" i="515"/>
  <c r="AG32" i="515"/>
  <c r="AH32" i="515"/>
  <c r="AI32" i="515"/>
  <c r="AG37" i="515"/>
  <c r="AH37" i="515"/>
  <c r="AG53" i="515"/>
  <c r="AH53" i="515"/>
  <c r="AG49" i="515"/>
  <c r="AH49" i="515"/>
  <c r="AG52" i="515"/>
  <c r="AH52" i="515"/>
  <c r="AG33" i="515"/>
  <c r="AH33" i="515"/>
  <c r="AG36" i="515"/>
  <c r="AH36" i="515"/>
  <c r="AI56" i="515"/>
  <c r="AG11" i="515"/>
  <c r="AH11" i="515"/>
  <c r="AJ27" i="515"/>
  <c r="AG27" i="515"/>
  <c r="AH27" i="515"/>
  <c r="AH16" i="515"/>
  <c r="AG16" i="515"/>
  <c r="AG44" i="515"/>
  <c r="AH44" i="515"/>
  <c r="AJ51" i="515"/>
  <c r="AG51" i="515"/>
  <c r="AH51" i="515"/>
  <c r="AG43" i="515"/>
  <c r="AH43" i="515"/>
  <c r="AG50" i="515"/>
  <c r="AH50" i="515"/>
  <c r="AH22" i="515"/>
  <c r="AG22" i="515"/>
  <c r="AH26" i="515"/>
  <c r="AG26" i="515"/>
  <c r="AH24" i="515"/>
  <c r="AG24" i="515"/>
  <c r="AG21" i="515"/>
  <c r="AH21" i="515"/>
  <c r="AG25" i="515"/>
  <c r="AJ25" i="515"/>
  <c r="AH25" i="515"/>
  <c r="AH23" i="515"/>
  <c r="AG23" i="515"/>
  <c r="AI24" i="515"/>
  <c r="AJ13" i="515"/>
  <c r="AG13" i="515"/>
  <c r="AH13" i="515"/>
  <c r="AW24" i="515"/>
  <c r="R24" i="515"/>
  <c r="AP24" i="515"/>
  <c r="AV24" i="515"/>
  <c r="AG284" i="3"/>
  <c r="AG379" i="3"/>
  <c r="AG267" i="3"/>
  <c r="AG189" i="3"/>
  <c r="AG114" i="3"/>
  <c r="AG357" i="3"/>
  <c r="AG117" i="3"/>
  <c r="AG105" i="3"/>
  <c r="AG243" i="3"/>
  <c r="AG259" i="3"/>
  <c r="AG381" i="3"/>
  <c r="AG387" i="3"/>
  <c r="P53" i="515"/>
  <c r="E54" i="39124" s="1"/>
  <c r="AG201" i="3"/>
  <c r="P41" i="515"/>
  <c r="AE42" i="39124" s="1"/>
  <c r="P13" i="515"/>
  <c r="E14" i="39124" s="1"/>
  <c r="AG317" i="3"/>
  <c r="AG109" i="3"/>
  <c r="AG157" i="3"/>
  <c r="AG440" i="3"/>
  <c r="AG416" i="3"/>
  <c r="AG254" i="3"/>
  <c r="AG290" i="3"/>
  <c r="AG193" i="3"/>
  <c r="AF158" i="3"/>
  <c r="AE158" i="3"/>
  <c r="Z158" i="3"/>
  <c r="AD158" i="3"/>
  <c r="AE325" i="3"/>
  <c r="AF325" i="3"/>
  <c r="Z325" i="3"/>
  <c r="AD325" i="3"/>
  <c r="Z122" i="3"/>
  <c r="AF122" i="3"/>
  <c r="AE122" i="3"/>
  <c r="AD122" i="3"/>
  <c r="Z103" i="3"/>
  <c r="AE103" i="3"/>
  <c r="AF103" i="3"/>
  <c r="AD103" i="3"/>
  <c r="Z83" i="3"/>
  <c r="AE83" i="3"/>
  <c r="AF83" i="3"/>
  <c r="AD83" i="3"/>
  <c r="Z340" i="3"/>
  <c r="AE340" i="3"/>
  <c r="AF340" i="3"/>
  <c r="AD340" i="3"/>
  <c r="Z298" i="3"/>
  <c r="AF298" i="3"/>
  <c r="AE298" i="3"/>
  <c r="AD298" i="3"/>
  <c r="AE137" i="3"/>
  <c r="Z137" i="3"/>
  <c r="AF137" i="3"/>
  <c r="AD137" i="3"/>
  <c r="AF191" i="3"/>
  <c r="AE191" i="3"/>
  <c r="Z191" i="3"/>
  <c r="AD191" i="3"/>
  <c r="Z415" i="3"/>
  <c r="AE415" i="3"/>
  <c r="AF415" i="3"/>
  <c r="AD415" i="3"/>
  <c r="AE95" i="3"/>
  <c r="Z95" i="3"/>
  <c r="AF95" i="3"/>
  <c r="AD95" i="3"/>
  <c r="AF293" i="3"/>
  <c r="AE293" i="3"/>
  <c r="Z293" i="3"/>
  <c r="AD293" i="3"/>
  <c r="AE319" i="3"/>
  <c r="AF319" i="3"/>
  <c r="Z319" i="3"/>
  <c r="AD319" i="3"/>
  <c r="AE372" i="3"/>
  <c r="AF372" i="3"/>
  <c r="Z372" i="3"/>
  <c r="AD372" i="3"/>
  <c r="Z273" i="3"/>
  <c r="AE273" i="3"/>
  <c r="AF273" i="3"/>
  <c r="AD273" i="3"/>
  <c r="Z351" i="3"/>
  <c r="AE351" i="3"/>
  <c r="AF351" i="3"/>
  <c r="AD351" i="3"/>
  <c r="AE199" i="3"/>
  <c r="AF199" i="3"/>
  <c r="Z199" i="3"/>
  <c r="AD199" i="3"/>
  <c r="AE82" i="3"/>
  <c r="Z82" i="3"/>
  <c r="AF82" i="3"/>
  <c r="AD82" i="3"/>
  <c r="AF96" i="3"/>
  <c r="AE96" i="3"/>
  <c r="Z96" i="3"/>
  <c r="AD96" i="3"/>
  <c r="AF399" i="3"/>
  <c r="AE399" i="3"/>
  <c r="Z399" i="3"/>
  <c r="AD399" i="3"/>
  <c r="AE212" i="3"/>
  <c r="Z212" i="3"/>
  <c r="AF212" i="3"/>
  <c r="AD212" i="3"/>
  <c r="AE326" i="3"/>
  <c r="AF326" i="3"/>
  <c r="Z326" i="3"/>
  <c r="AD326" i="3"/>
  <c r="Z160" i="3"/>
  <c r="AE160" i="3"/>
  <c r="AF160" i="3"/>
  <c r="AD160" i="3"/>
  <c r="AE171" i="3"/>
  <c r="Z171" i="3"/>
  <c r="AF171" i="3"/>
  <c r="AD171" i="3"/>
  <c r="AF353" i="3"/>
  <c r="Z353" i="3"/>
  <c r="AE353" i="3"/>
  <c r="AD353" i="3"/>
  <c r="AR42" i="515"/>
  <c r="AX42" i="515" s="1"/>
  <c r="AF334" i="3"/>
  <c r="Z334" i="3"/>
  <c r="AE334" i="3"/>
  <c r="AD334" i="3"/>
  <c r="AR21" i="515"/>
  <c r="AF238" i="3"/>
  <c r="Z238" i="3"/>
  <c r="AE238" i="3"/>
  <c r="AD238" i="3"/>
  <c r="Z295" i="3"/>
  <c r="AE295" i="3"/>
  <c r="P39" i="515"/>
  <c r="AD295" i="3"/>
  <c r="AF295" i="3"/>
  <c r="AE240" i="3"/>
  <c r="AF240" i="3"/>
  <c r="BL33" i="515" s="1"/>
  <c r="BP33" i="515" s="1"/>
  <c r="Z240" i="3"/>
  <c r="AD240" i="3"/>
  <c r="BJ33" i="515" s="1"/>
  <c r="BN33" i="515" s="1"/>
  <c r="AR17" i="515"/>
  <c r="AX17" i="515" s="1"/>
  <c r="AR12" i="515"/>
  <c r="Z308" i="3"/>
  <c r="AF308" i="3"/>
  <c r="P40" i="515"/>
  <c r="AD308" i="3"/>
  <c r="AE308" i="3"/>
  <c r="Z327" i="3"/>
  <c r="P42" i="515"/>
  <c r="AF327" i="3"/>
  <c r="AD327" i="3"/>
  <c r="AE327" i="3"/>
  <c r="Z133" i="3"/>
  <c r="AF133" i="3"/>
  <c r="P18" i="515"/>
  <c r="AE133" i="3"/>
  <c r="AD133" i="3"/>
  <c r="AG266" i="3"/>
  <c r="AR54" i="515"/>
  <c r="AX54" i="515" s="1"/>
  <c r="AF206" i="3"/>
  <c r="Z206" i="3"/>
  <c r="AE206" i="3"/>
  <c r="AD206" i="3"/>
  <c r="BP51" i="515"/>
  <c r="AR51" i="515"/>
  <c r="AR23" i="515"/>
  <c r="AX23" i="515" s="1"/>
  <c r="Z168" i="3"/>
  <c r="AE168" i="3"/>
  <c r="AF168" i="3"/>
  <c r="AD168" i="3"/>
  <c r="P22" i="515"/>
  <c r="AR33" i="515"/>
  <c r="AX33" i="515" s="1"/>
  <c r="Z352" i="3"/>
  <c r="AF352" i="3"/>
  <c r="AE352" i="3"/>
  <c r="AD352" i="3"/>
  <c r="AW49" i="515"/>
  <c r="AV49" i="515"/>
  <c r="AP49" i="515"/>
  <c r="R49" i="515"/>
  <c r="AG248" i="3"/>
  <c r="AR36" i="515"/>
  <c r="AX36" i="515" s="1"/>
  <c r="AY46" i="515"/>
  <c r="AY12" i="515"/>
  <c r="AY8" i="515"/>
  <c r="AZ55" i="515"/>
  <c r="AY22" i="515"/>
  <c r="AZ35" i="515"/>
  <c r="BA38" i="515"/>
  <c r="AY17" i="515"/>
  <c r="BA51" i="515"/>
  <c r="AY33" i="515"/>
  <c r="AY38" i="515"/>
  <c r="AZ45" i="515"/>
  <c r="AZ33" i="515"/>
  <c r="BA25" i="515"/>
  <c r="BA18" i="515"/>
  <c r="AY9" i="515"/>
  <c r="BA39" i="515"/>
  <c r="BA54" i="515"/>
  <c r="BA10" i="515"/>
  <c r="AZ19" i="515"/>
  <c r="BA40" i="515"/>
  <c r="AY23" i="515"/>
  <c r="BA13" i="515"/>
  <c r="AZ23" i="515"/>
  <c r="BA16" i="515"/>
  <c r="BA45" i="515"/>
  <c r="AY20" i="515"/>
  <c r="AZ15" i="515"/>
  <c r="AY47" i="515"/>
  <c r="AY35" i="515"/>
  <c r="AZ26" i="515"/>
  <c r="BA46" i="515"/>
  <c r="AY51" i="515"/>
  <c r="AZ42" i="515"/>
  <c r="AZ47" i="515"/>
  <c r="AY52" i="515"/>
  <c r="AY18" i="515"/>
  <c r="AY34" i="515"/>
  <c r="AY14" i="515"/>
  <c r="BA35" i="515"/>
  <c r="AZ53" i="515"/>
  <c r="AY54" i="515"/>
  <c r="AZ34" i="515"/>
  <c r="AY31" i="515"/>
  <c r="AY36" i="515"/>
  <c r="AY48" i="515"/>
  <c r="AZ22" i="515"/>
  <c r="AY16" i="515"/>
  <c r="BA33" i="515"/>
  <c r="BA47" i="515"/>
  <c r="BA15" i="515"/>
  <c r="AZ10" i="515"/>
  <c r="AY41" i="515"/>
  <c r="BA52" i="515"/>
  <c r="AY27" i="515"/>
  <c r="AZ29" i="515"/>
  <c r="AZ36" i="515"/>
  <c r="AZ41" i="515"/>
  <c r="AZ31" i="515"/>
  <c r="BA49" i="515"/>
  <c r="BA48" i="515"/>
  <c r="AY42" i="515"/>
  <c r="AY21" i="515"/>
  <c r="BA37" i="515"/>
  <c r="AZ28" i="515"/>
  <c r="BA30" i="515"/>
  <c r="AY37" i="515"/>
  <c r="BA8" i="515"/>
  <c r="AZ13" i="515"/>
  <c r="AY39" i="515"/>
  <c r="AY19" i="515"/>
  <c r="BA9" i="515"/>
  <c r="AZ27" i="515"/>
  <c r="AZ21" i="515"/>
  <c r="BA17" i="515"/>
  <c r="AY53" i="515"/>
  <c r="AY25" i="515"/>
  <c r="BA23" i="515"/>
  <c r="BA21" i="515"/>
  <c r="AY45" i="515"/>
  <c r="AZ54" i="515"/>
  <c r="BA44" i="515"/>
  <c r="AY28" i="515"/>
  <c r="AZ49" i="515"/>
  <c r="BA29" i="515"/>
  <c r="AZ16" i="515"/>
  <c r="AY30" i="515"/>
  <c r="BA50" i="515"/>
  <c r="BA32" i="515"/>
  <c r="AZ32" i="515"/>
  <c r="AZ50" i="515"/>
  <c r="BA12" i="515"/>
  <c r="AY26" i="515"/>
  <c r="BA7" i="515"/>
  <c r="AZ18" i="515"/>
  <c r="AZ30" i="515"/>
  <c r="BA28" i="515"/>
  <c r="AY29" i="515"/>
  <c r="AY49" i="515"/>
  <c r="AY10" i="515"/>
  <c r="AY24" i="515"/>
  <c r="BA11" i="515"/>
  <c r="BA42" i="515"/>
  <c r="AY50" i="515"/>
  <c r="AY11" i="515"/>
  <c r="BA27" i="515"/>
  <c r="BA26" i="515"/>
  <c r="BA24" i="515"/>
  <c r="BA41" i="515"/>
  <c r="AY55" i="515"/>
  <c r="BA19" i="515"/>
  <c r="AZ51" i="515"/>
  <c r="AY32" i="515"/>
  <c r="BA36" i="515"/>
  <c r="AY7" i="515"/>
  <c r="BA55" i="515"/>
  <c r="AZ43" i="515"/>
  <c r="AY40" i="515"/>
  <c r="AZ39" i="515"/>
  <c r="AZ25" i="515"/>
  <c r="AZ44" i="515"/>
  <c r="AZ9" i="515"/>
  <c r="AY43" i="515"/>
  <c r="AZ40" i="515"/>
  <c r="AZ52" i="515"/>
  <c r="BA31" i="515"/>
  <c r="AZ24" i="515"/>
  <c r="AZ38" i="515"/>
  <c r="BA14" i="515"/>
  <c r="AY13" i="515"/>
  <c r="AZ48" i="515"/>
  <c r="BA22" i="515"/>
  <c r="BA43" i="515"/>
  <c r="AZ20" i="515"/>
  <c r="AY15" i="515"/>
  <c r="AZ46" i="515"/>
  <c r="BA34" i="515"/>
  <c r="BA53" i="515"/>
  <c r="AZ11" i="515"/>
  <c r="AZ14" i="515"/>
  <c r="AY44" i="515"/>
  <c r="AZ8" i="515"/>
  <c r="AZ12" i="515"/>
  <c r="AZ17" i="515"/>
  <c r="AZ37" i="515"/>
  <c r="BA20" i="515"/>
  <c r="AZ7" i="515"/>
  <c r="Z441" i="3"/>
  <c r="AF441" i="3"/>
  <c r="AE441" i="3"/>
  <c r="AD441" i="3"/>
  <c r="BJ56" i="515" s="1"/>
  <c r="AF153" i="3"/>
  <c r="Z153" i="3"/>
  <c r="AE153" i="3"/>
  <c r="AD153" i="3"/>
  <c r="AF373" i="3"/>
  <c r="AE373" i="3"/>
  <c r="Z373" i="3"/>
  <c r="AD373" i="3"/>
  <c r="Z303" i="3"/>
  <c r="AE303" i="3"/>
  <c r="AF303" i="3"/>
  <c r="AD303" i="3"/>
  <c r="Z257" i="3"/>
  <c r="AE257" i="3"/>
  <c r="AF257" i="3"/>
  <c r="AD257" i="3"/>
  <c r="Z152" i="3"/>
  <c r="AF152" i="3"/>
  <c r="AE152" i="3"/>
  <c r="AD152" i="3"/>
  <c r="Z155" i="3"/>
  <c r="AE155" i="3"/>
  <c r="AF155" i="3"/>
  <c r="AD155" i="3"/>
  <c r="AF222" i="3"/>
  <c r="AE222" i="3"/>
  <c r="Z222" i="3"/>
  <c r="AD222" i="3"/>
  <c r="AE282" i="3"/>
  <c r="Z282" i="3"/>
  <c r="AF282" i="3"/>
  <c r="AD282" i="3"/>
  <c r="Z142" i="3"/>
  <c r="AE142" i="3"/>
  <c r="AF142" i="3"/>
  <c r="AD142" i="3"/>
  <c r="AE366" i="3"/>
  <c r="Z366" i="3"/>
  <c r="AF366" i="3"/>
  <c r="AD366" i="3"/>
  <c r="AF202" i="3"/>
  <c r="Z202" i="3"/>
  <c r="AE202" i="3"/>
  <c r="AD202" i="3"/>
  <c r="AF112" i="3"/>
  <c r="Z112" i="3"/>
  <c r="AE112" i="3"/>
  <c r="AD112" i="3"/>
  <c r="AF306" i="3"/>
  <c r="Z306" i="3"/>
  <c r="AE306" i="3"/>
  <c r="AD306" i="3"/>
  <c r="Z237" i="3"/>
  <c r="AF237" i="3"/>
  <c r="AE237" i="3"/>
  <c r="AD237" i="3"/>
  <c r="AF210" i="3"/>
  <c r="Z210" i="3"/>
  <c r="AE210" i="3"/>
  <c r="AD210" i="3"/>
  <c r="Z386" i="3"/>
  <c r="AF386" i="3"/>
  <c r="AE386" i="3"/>
  <c r="AD386" i="3"/>
  <c r="AF395" i="3"/>
  <c r="AE395" i="3"/>
  <c r="Z395" i="3"/>
  <c r="AD395" i="3"/>
  <c r="AE301" i="3"/>
  <c r="AF301" i="3"/>
  <c r="Z301" i="3"/>
  <c r="AD301" i="3"/>
  <c r="AF420" i="3"/>
  <c r="Z420" i="3"/>
  <c r="AE420" i="3"/>
  <c r="AD420" i="3"/>
  <c r="AE211" i="3"/>
  <c r="AF211" i="3"/>
  <c r="Z211" i="3"/>
  <c r="AD211" i="3"/>
  <c r="AE186" i="3"/>
  <c r="AF186" i="3"/>
  <c r="Z186" i="3"/>
  <c r="AD186" i="3"/>
  <c r="AE141" i="3"/>
  <c r="Z141" i="3"/>
  <c r="AF141" i="3"/>
  <c r="AD141" i="3"/>
  <c r="AR55" i="515"/>
  <c r="AX55" i="515" s="1"/>
  <c r="AE129" i="3"/>
  <c r="AF129" i="3"/>
  <c r="Z129" i="3"/>
  <c r="AD129" i="3"/>
  <c r="Z81" i="3"/>
  <c r="AF81" i="3"/>
  <c r="AE81" i="3"/>
  <c r="AD81" i="3"/>
  <c r="Z371" i="3"/>
  <c r="AF371" i="3"/>
  <c r="AE371" i="3"/>
  <c r="AD371" i="3"/>
  <c r="AE412" i="3"/>
  <c r="AF412" i="3"/>
  <c r="Z412" i="3"/>
  <c r="AD412" i="3"/>
  <c r="AF156" i="3"/>
  <c r="AE156" i="3"/>
  <c r="Z156" i="3"/>
  <c r="AD156" i="3"/>
  <c r="AE77" i="3"/>
  <c r="Z77" i="3"/>
  <c r="AF77" i="3"/>
  <c r="AD77" i="3"/>
  <c r="AF279" i="3"/>
  <c r="Z279" i="3"/>
  <c r="AE279" i="3"/>
  <c r="AD279" i="3"/>
  <c r="AE102" i="3"/>
  <c r="Z102" i="3"/>
  <c r="AF102" i="3"/>
  <c r="AD102" i="3"/>
  <c r="AE286" i="3"/>
  <c r="AF286" i="3"/>
  <c r="Z286" i="3"/>
  <c r="AD286" i="3"/>
  <c r="AR34" i="515"/>
  <c r="AF231" i="3"/>
  <c r="Z231" i="3"/>
  <c r="AE231" i="3"/>
  <c r="AD231" i="3"/>
  <c r="AE297" i="3"/>
  <c r="AF297" i="3"/>
  <c r="Z297" i="3"/>
  <c r="AD297" i="3"/>
  <c r="AE361" i="3"/>
  <c r="Z361" i="3"/>
  <c r="AF361" i="3"/>
  <c r="AD361" i="3"/>
  <c r="AR18" i="515"/>
  <c r="AX18" i="515" s="1"/>
  <c r="AR47" i="515"/>
  <c r="AR29" i="515"/>
  <c r="AX29" i="515" s="1"/>
  <c r="AR16" i="515"/>
  <c r="AX16" i="515" s="1"/>
  <c r="AR44" i="515"/>
  <c r="AR48" i="515"/>
  <c r="AX48" i="515" s="1"/>
  <c r="AR46" i="515"/>
  <c r="AX46" i="515" s="1"/>
  <c r="AR26" i="515"/>
  <c r="AX26" i="515" s="1"/>
  <c r="AR28" i="515"/>
  <c r="AX28" i="515" s="1"/>
  <c r="Z71" i="3"/>
  <c r="AE71" i="3"/>
  <c r="AD71" i="3"/>
  <c r="P11" i="515"/>
  <c r="AF71" i="3"/>
  <c r="Z217" i="3"/>
  <c r="AF217" i="3"/>
  <c r="AE217" i="3"/>
  <c r="AD217" i="3"/>
  <c r="Z434" i="3"/>
  <c r="AF434" i="3"/>
  <c r="AE434" i="3"/>
  <c r="AD434" i="3"/>
  <c r="AE198" i="3"/>
  <c r="Z198" i="3"/>
  <c r="AF198" i="3"/>
  <c r="AD198" i="3"/>
  <c r="Z426" i="3"/>
  <c r="AE426" i="3"/>
  <c r="AF426" i="3"/>
  <c r="AD426" i="3"/>
  <c r="AF233" i="3"/>
  <c r="Z233" i="3"/>
  <c r="AE233" i="3"/>
  <c r="AD233" i="3"/>
  <c r="Z218" i="3"/>
  <c r="AE218" i="3"/>
  <c r="AF218" i="3"/>
  <c r="AD218" i="3"/>
  <c r="AE354" i="3"/>
  <c r="Z354" i="3"/>
  <c r="AF354" i="3"/>
  <c r="AD354" i="3"/>
  <c r="AE370" i="3"/>
  <c r="Z370" i="3"/>
  <c r="AF370" i="3"/>
  <c r="AD370" i="3"/>
  <c r="AE252" i="3"/>
  <c r="AF252" i="3"/>
  <c r="Z252" i="3"/>
  <c r="AD252" i="3"/>
  <c r="AE140" i="3"/>
  <c r="Z140" i="3"/>
  <c r="AF140" i="3"/>
  <c r="AD140" i="3"/>
  <c r="Z204" i="3"/>
  <c r="AE204" i="3"/>
  <c r="AF204" i="3"/>
  <c r="AD204" i="3"/>
  <c r="AE318" i="3"/>
  <c r="AF318" i="3"/>
  <c r="Z318" i="3"/>
  <c r="AD318" i="3"/>
  <c r="Z348" i="3"/>
  <c r="AF348" i="3"/>
  <c r="AE348" i="3"/>
  <c r="AD348" i="3"/>
  <c r="Z166" i="3"/>
  <c r="AE166" i="3"/>
  <c r="AF166" i="3"/>
  <c r="AD166" i="3"/>
  <c r="AF405" i="3"/>
  <c r="AE405" i="3"/>
  <c r="Z405" i="3"/>
  <c r="AD405" i="3"/>
  <c r="AF360" i="3"/>
  <c r="Z360" i="3"/>
  <c r="AE360" i="3"/>
  <c r="AD360" i="3"/>
  <c r="AF110" i="3"/>
  <c r="Z110" i="3"/>
  <c r="AE110" i="3"/>
  <c r="AD110" i="3"/>
  <c r="AF304" i="3"/>
  <c r="Z304" i="3"/>
  <c r="AE304" i="3"/>
  <c r="AD304" i="3"/>
  <c r="Z151" i="3"/>
  <c r="AE151" i="3"/>
  <c r="AF151" i="3"/>
  <c r="AD151" i="3"/>
  <c r="AF86" i="3"/>
  <c r="AE86" i="3"/>
  <c r="Z86" i="3"/>
  <c r="AD86" i="3"/>
  <c r="AF200" i="3"/>
  <c r="Z200" i="3"/>
  <c r="AE200" i="3"/>
  <c r="AD200" i="3"/>
  <c r="AF260" i="3"/>
  <c r="Z260" i="3"/>
  <c r="AE260" i="3"/>
  <c r="AD260" i="3"/>
  <c r="AE291" i="3"/>
  <c r="Z291" i="3"/>
  <c r="AF291" i="3"/>
  <c r="AD291" i="3"/>
  <c r="AE262" i="3"/>
  <c r="AF262" i="3"/>
  <c r="Z262" i="3"/>
  <c r="AD262" i="3"/>
  <c r="AF258" i="3"/>
  <c r="AE258" i="3"/>
  <c r="Z258" i="3"/>
  <c r="AD258" i="3"/>
  <c r="Z213" i="3"/>
  <c r="AF213" i="3"/>
  <c r="AE213" i="3"/>
  <c r="AD213" i="3"/>
  <c r="Z79" i="3"/>
  <c r="AE79" i="3"/>
  <c r="AF79" i="3"/>
  <c r="AD79" i="3"/>
  <c r="Z239" i="3"/>
  <c r="AE239" i="3"/>
  <c r="BK32" i="515" s="1"/>
  <c r="BO32" i="515" s="1"/>
  <c r="AF239" i="3"/>
  <c r="BL32" i="515" s="1"/>
  <c r="BP32" i="515" s="1"/>
  <c r="AD239" i="3"/>
  <c r="BJ32" i="515" s="1"/>
  <c r="BN32" i="515" s="1"/>
  <c r="Z139" i="3"/>
  <c r="AF139" i="3"/>
  <c r="AE139" i="3"/>
  <c r="AD139" i="3"/>
  <c r="Z283" i="3"/>
  <c r="AF283" i="3"/>
  <c r="AE283" i="3"/>
  <c r="AD283" i="3"/>
  <c r="E15" i="39124"/>
  <c r="AE15" i="39124"/>
  <c r="AE188" i="3"/>
  <c r="Z188" i="3"/>
  <c r="AF188" i="3"/>
  <c r="AD188" i="3"/>
  <c r="AF97" i="3"/>
  <c r="Z97" i="3"/>
  <c r="AE97" i="3"/>
  <c r="AD97" i="3"/>
  <c r="AR20" i="515"/>
  <c r="AX20" i="515" s="1"/>
  <c r="AP32" i="515"/>
  <c r="AW32" i="515"/>
  <c r="AV32" i="515"/>
  <c r="R32" i="515"/>
  <c r="AW35" i="515"/>
  <c r="AV35" i="515"/>
  <c r="AP35" i="515"/>
  <c r="R35" i="515"/>
  <c r="AG232" i="3"/>
  <c r="AW19" i="515"/>
  <c r="AP19" i="515"/>
  <c r="AV19" i="515"/>
  <c r="R19" i="515"/>
  <c r="AP37" i="515"/>
  <c r="AV37" i="515"/>
  <c r="AW37" i="515"/>
  <c r="R37" i="515"/>
  <c r="AP52" i="515"/>
  <c r="AV52" i="515"/>
  <c r="AW52" i="515"/>
  <c r="R52" i="515"/>
  <c r="AG185" i="3"/>
  <c r="AP56" i="515"/>
  <c r="AV56" i="515"/>
  <c r="AW56" i="515"/>
  <c r="R56" i="515"/>
  <c r="P19" i="515"/>
  <c r="P52" i="515"/>
  <c r="AX49" i="515"/>
  <c r="P15" i="515"/>
  <c r="AG363" i="3"/>
  <c r="AG346" i="3"/>
  <c r="AG91" i="3"/>
  <c r="AG271" i="3"/>
  <c r="AG227" i="3"/>
  <c r="AG190" i="3"/>
  <c r="AG343" i="3"/>
  <c r="AG408" i="3"/>
  <c r="P31" i="515"/>
  <c r="AG106" i="3"/>
  <c r="AG376" i="3"/>
  <c r="AX37" i="515"/>
  <c r="AE314" i="3"/>
  <c r="AF314" i="3"/>
  <c r="Z314" i="3"/>
  <c r="AD314" i="3"/>
  <c r="Z134" i="3"/>
  <c r="AF134" i="3"/>
  <c r="AE134" i="3"/>
  <c r="AD134" i="3"/>
  <c r="Z146" i="3"/>
  <c r="AF146" i="3"/>
  <c r="AE146" i="3"/>
  <c r="AD146" i="3"/>
  <c r="Z407" i="3"/>
  <c r="AF407" i="3"/>
  <c r="AE407" i="3"/>
  <c r="AD407" i="3"/>
  <c r="AE132" i="3"/>
  <c r="AF132" i="3"/>
  <c r="Z132" i="3"/>
  <c r="AD132" i="3"/>
  <c r="AF378" i="3"/>
  <c r="Z378" i="3"/>
  <c r="AE378" i="3"/>
  <c r="AD378" i="3"/>
  <c r="AF75" i="3"/>
  <c r="AE75" i="3"/>
  <c r="Z75" i="3"/>
  <c r="AD75" i="3"/>
  <c r="AE230" i="3"/>
  <c r="AF230" i="3"/>
  <c r="Z230" i="3"/>
  <c r="AD230" i="3"/>
  <c r="AF385" i="3"/>
  <c r="AE385" i="3"/>
  <c r="Z385" i="3"/>
  <c r="AD385" i="3"/>
  <c r="AE431" i="3"/>
  <c r="AF431" i="3"/>
  <c r="Z431" i="3"/>
  <c r="AD431" i="3"/>
  <c r="Z269" i="3"/>
  <c r="AF269" i="3"/>
  <c r="AE269" i="3"/>
  <c r="AD269" i="3"/>
  <c r="AE74" i="3"/>
  <c r="Z74" i="3"/>
  <c r="AF74" i="3"/>
  <c r="AD74" i="3"/>
  <c r="Z344" i="3"/>
  <c r="AE344" i="3"/>
  <c r="AF344" i="3"/>
  <c r="AD344" i="3"/>
  <c r="AE194" i="3"/>
  <c r="Z194" i="3"/>
  <c r="AF194" i="3"/>
  <c r="AD194" i="3"/>
  <c r="AE313" i="3"/>
  <c r="AF313" i="3"/>
  <c r="Z313" i="3"/>
  <c r="AD313" i="3"/>
  <c r="Z119" i="3"/>
  <c r="AF119" i="3"/>
  <c r="AE119" i="3"/>
  <c r="AD119" i="3"/>
  <c r="Z234" i="3"/>
  <c r="AE234" i="3"/>
  <c r="AF234" i="3"/>
  <c r="AD234" i="3"/>
  <c r="AE417" i="3"/>
  <c r="AF417" i="3"/>
  <c r="Z417" i="3"/>
  <c r="AD417" i="3"/>
  <c r="AE320" i="3"/>
  <c r="AF320" i="3"/>
  <c r="Z320" i="3"/>
  <c r="AD320" i="3"/>
  <c r="AE108" i="3"/>
  <c r="Z108" i="3"/>
  <c r="AF108" i="3"/>
  <c r="AD108" i="3"/>
  <c r="AE236" i="3"/>
  <c r="Z236" i="3"/>
  <c r="AF236" i="3"/>
  <c r="AD236" i="3"/>
  <c r="Z164" i="3"/>
  <c r="AE164" i="3"/>
  <c r="AF164" i="3"/>
  <c r="AD164" i="3"/>
  <c r="AR50" i="515"/>
  <c r="Z121" i="3"/>
  <c r="AE121" i="3"/>
  <c r="AF121" i="3"/>
  <c r="AD121" i="3"/>
  <c r="Z229" i="3"/>
  <c r="AE229" i="3"/>
  <c r="AF229" i="3"/>
  <c r="AD229" i="3"/>
  <c r="AR15" i="515"/>
  <c r="AX15" i="515" s="1"/>
  <c r="AE365" i="3"/>
  <c r="AF365" i="3"/>
  <c r="Z365" i="3"/>
  <c r="P48" i="515"/>
  <c r="AD365" i="3"/>
  <c r="AF330" i="3"/>
  <c r="Z330" i="3"/>
  <c r="AE330" i="3"/>
  <c r="AD330" i="3"/>
  <c r="AF362" i="3"/>
  <c r="AE362" i="3"/>
  <c r="Z362" i="3"/>
  <c r="AD362" i="3"/>
  <c r="Z131" i="3"/>
  <c r="AF131" i="3"/>
  <c r="P17" i="515"/>
  <c r="AE131" i="3"/>
  <c r="AD131" i="3"/>
  <c r="P46" i="515"/>
  <c r="AE358" i="3"/>
  <c r="Z358" i="3"/>
  <c r="AF358" i="3"/>
  <c r="AD358" i="3"/>
  <c r="AU57" i="515"/>
  <c r="B22" i="39125"/>
  <c r="AR11" i="515"/>
  <c r="D4" i="868"/>
  <c r="AG93" i="3"/>
  <c r="Z289" i="3"/>
  <c r="AF289" i="3"/>
  <c r="AE289" i="3"/>
  <c r="AD289" i="3"/>
  <c r="AF226" i="3"/>
  <c r="AE226" i="3"/>
  <c r="Z226" i="3"/>
  <c r="AD226" i="3"/>
  <c r="AE345" i="3"/>
  <c r="AF345" i="3"/>
  <c r="Z345" i="3"/>
  <c r="AD345" i="3"/>
  <c r="AE116" i="3"/>
  <c r="AF116" i="3"/>
  <c r="Z116" i="3"/>
  <c r="AD116" i="3"/>
  <c r="AE175" i="3"/>
  <c r="AF175" i="3"/>
  <c r="Z175" i="3"/>
  <c r="AD175" i="3"/>
  <c r="AF369" i="3"/>
  <c r="Z369" i="3"/>
  <c r="AE369" i="3"/>
  <c r="AD369" i="3"/>
  <c r="AE350" i="3"/>
  <c r="Z350" i="3"/>
  <c r="AF350" i="3"/>
  <c r="AD350" i="3"/>
  <c r="Z148" i="3"/>
  <c r="AE148" i="3"/>
  <c r="AF148" i="3"/>
  <c r="AD148" i="3"/>
  <c r="AE113" i="3"/>
  <c r="Z113" i="3"/>
  <c r="AF113" i="3"/>
  <c r="AD113" i="3"/>
  <c r="AF265" i="3"/>
  <c r="AE265" i="3"/>
  <c r="Z265" i="3"/>
  <c r="AD265" i="3"/>
  <c r="Z333" i="3"/>
  <c r="AE333" i="3"/>
  <c r="AF333" i="3"/>
  <c r="AD333" i="3"/>
  <c r="Z280" i="3"/>
  <c r="AE280" i="3"/>
  <c r="AF280" i="3"/>
  <c r="AD280" i="3"/>
  <c r="Z100" i="3"/>
  <c r="AE100" i="3"/>
  <c r="AF100" i="3"/>
  <c r="AD100" i="3"/>
  <c r="AF255" i="3"/>
  <c r="AE255" i="3"/>
  <c r="Z255" i="3"/>
  <c r="AD255" i="3"/>
  <c r="Z104" i="3"/>
  <c r="AF104" i="3"/>
  <c r="AE104" i="3"/>
  <c r="AD104" i="3"/>
  <c r="AF256" i="3"/>
  <c r="Z256" i="3"/>
  <c r="AE256" i="3"/>
  <c r="AD256" i="3"/>
  <c r="Z90" i="3"/>
  <c r="AE90" i="3"/>
  <c r="AF90" i="3"/>
  <c r="AD90" i="3"/>
  <c r="AF285" i="3"/>
  <c r="Z285" i="3"/>
  <c r="AE285" i="3"/>
  <c r="AD285" i="3"/>
  <c r="AF147" i="3"/>
  <c r="Z147" i="3"/>
  <c r="AE147" i="3"/>
  <c r="AD147" i="3"/>
  <c r="AF138" i="3"/>
  <c r="AE138" i="3"/>
  <c r="Z138" i="3"/>
  <c r="AD138" i="3"/>
  <c r="AE247" i="3"/>
  <c r="AF247" i="3"/>
  <c r="Z247" i="3"/>
  <c r="AD247" i="3"/>
  <c r="AE315" i="3"/>
  <c r="AF315" i="3"/>
  <c r="Z315" i="3"/>
  <c r="AD315" i="3"/>
  <c r="AF84" i="3"/>
  <c r="AE84" i="3"/>
  <c r="Z84" i="3"/>
  <c r="AD84" i="3"/>
  <c r="Z101" i="3"/>
  <c r="AE101" i="3"/>
  <c r="AF101" i="3"/>
  <c r="AD101" i="3"/>
  <c r="AE423" i="3"/>
  <c r="Z423" i="3"/>
  <c r="AF423" i="3"/>
  <c r="AD423" i="3"/>
  <c r="Z107" i="3"/>
  <c r="AE107" i="3"/>
  <c r="AF107" i="3"/>
  <c r="AD107" i="3"/>
  <c r="AE324" i="3"/>
  <c r="AF324" i="3"/>
  <c r="Z324" i="3"/>
  <c r="AD324" i="3"/>
  <c r="AF302" i="3"/>
  <c r="Z302" i="3"/>
  <c r="AE302" i="3"/>
  <c r="AD302" i="3"/>
  <c r="Z425" i="3"/>
  <c r="AE425" i="3"/>
  <c r="AF425" i="3"/>
  <c r="AD425" i="3"/>
  <c r="Z143" i="3"/>
  <c r="AF143" i="3"/>
  <c r="AE143" i="3"/>
  <c r="AD143" i="3"/>
  <c r="AE311" i="3"/>
  <c r="AF311" i="3"/>
  <c r="Z311" i="3"/>
  <c r="AD311" i="3"/>
  <c r="AF275" i="3"/>
  <c r="AE275" i="3"/>
  <c r="Z275" i="3"/>
  <c r="AD275" i="3"/>
  <c r="Z85" i="3"/>
  <c r="AE85" i="3"/>
  <c r="AF85" i="3"/>
  <c r="AD85" i="3"/>
  <c r="AE418" i="3"/>
  <c r="Z418" i="3"/>
  <c r="AF418" i="3"/>
  <c r="AD418" i="3"/>
  <c r="AE88" i="3"/>
  <c r="AF88" i="3"/>
  <c r="Z88" i="3"/>
  <c r="AD88" i="3"/>
  <c r="Z208" i="3"/>
  <c r="AF208" i="3"/>
  <c r="AE208" i="3"/>
  <c r="AD208" i="3"/>
  <c r="AE424" i="3"/>
  <c r="Z424" i="3"/>
  <c r="AF424" i="3"/>
  <c r="AD424" i="3"/>
  <c r="AF404" i="3"/>
  <c r="Z404" i="3"/>
  <c r="AE404" i="3"/>
  <c r="AD404" i="3"/>
  <c r="AF274" i="3"/>
  <c r="AE274" i="3"/>
  <c r="Z274" i="3"/>
  <c r="AD274" i="3"/>
  <c r="AF72" i="3"/>
  <c r="AE72" i="3"/>
  <c r="Z72" i="3"/>
  <c r="AD72" i="3"/>
  <c r="Z396" i="3"/>
  <c r="AF396" i="3"/>
  <c r="AE396" i="3"/>
  <c r="AD396" i="3"/>
  <c r="Z178" i="3"/>
  <c r="P24" i="515"/>
  <c r="AR30" i="515"/>
  <c r="AX30" i="515" s="1"/>
  <c r="AF432" i="3"/>
  <c r="Z432" i="3"/>
  <c r="AE432" i="3"/>
  <c r="AD432" i="3"/>
  <c r="AG135" i="3"/>
  <c r="Z197" i="3"/>
  <c r="AE197" i="3"/>
  <c r="AF197" i="3"/>
  <c r="AD197" i="3"/>
  <c r="Z307" i="3"/>
  <c r="AE307" i="3"/>
  <c r="AF307" i="3"/>
  <c r="AD307" i="3"/>
  <c r="Z377" i="3"/>
  <c r="AE377" i="3"/>
  <c r="AF377" i="3"/>
  <c r="AD377" i="3"/>
  <c r="AE111" i="3"/>
  <c r="AF111" i="3"/>
  <c r="Z111" i="3"/>
  <c r="AD111" i="3"/>
  <c r="Z263" i="3"/>
  <c r="P37" i="515"/>
  <c r="AE263" i="3"/>
  <c r="AD263" i="3"/>
  <c r="AF263" i="3"/>
  <c r="AF397" i="3"/>
  <c r="AE397" i="3"/>
  <c r="Z397" i="3"/>
  <c r="AD397" i="3"/>
  <c r="Z177" i="3"/>
  <c r="AF177" i="3"/>
  <c r="AE177" i="3"/>
  <c r="AD177" i="3"/>
  <c r="Z195" i="3"/>
  <c r="AF195" i="3"/>
  <c r="P27" i="515"/>
  <c r="AD195" i="3"/>
  <c r="AE195" i="3"/>
  <c r="AR31" i="515"/>
  <c r="AR27" i="515"/>
  <c r="AX27" i="515" s="1"/>
  <c r="Z359" i="3"/>
  <c r="AF359" i="3"/>
  <c r="AE359" i="3"/>
  <c r="AD359" i="3"/>
  <c r="AF159" i="3"/>
  <c r="Z159" i="3"/>
  <c r="AE159" i="3"/>
  <c r="AD159" i="3"/>
  <c r="AR14" i="515"/>
  <c r="AE374" i="3"/>
  <c r="Z374" i="3"/>
  <c r="AF374" i="3"/>
  <c r="P49" i="515"/>
  <c r="AD374" i="3"/>
  <c r="Z268" i="3"/>
  <c r="AE268" i="3"/>
  <c r="AF268" i="3"/>
  <c r="AD268" i="3"/>
  <c r="AG410" i="3"/>
  <c r="AF276" i="3"/>
  <c r="Z276" i="3"/>
  <c r="AE276" i="3"/>
  <c r="AD276" i="3"/>
  <c r="Z438" i="3"/>
  <c r="AF438" i="3"/>
  <c r="AE438" i="3"/>
  <c r="AD438" i="3"/>
  <c r="AR38" i="515"/>
  <c r="AF149" i="3"/>
  <c r="AE149" i="3"/>
  <c r="Z149" i="3"/>
  <c r="AD149" i="3"/>
  <c r="Z118" i="3"/>
  <c r="AF118" i="3"/>
  <c r="P16" i="515"/>
  <c r="AD118" i="3"/>
  <c r="AE118" i="3"/>
  <c r="AR13" i="515"/>
  <c r="AX13" i="515" s="1"/>
  <c r="Z428" i="3"/>
  <c r="AE428" i="3"/>
  <c r="AF428" i="3"/>
  <c r="AD428" i="3"/>
  <c r="Z225" i="3"/>
  <c r="AE225" i="3"/>
  <c r="AF225" i="3"/>
  <c r="AD225" i="3"/>
  <c r="Z80" i="3"/>
  <c r="AE80" i="3"/>
  <c r="P12" i="515"/>
  <c r="AF80" i="3"/>
  <c r="AD80" i="3"/>
  <c r="Z364" i="3"/>
  <c r="P47" i="515"/>
  <c r="AE364" i="3"/>
  <c r="AF364" i="3"/>
  <c r="AD364" i="3"/>
  <c r="BJ14" i="515"/>
  <c r="BN14" i="515" s="1"/>
  <c r="AG92" i="3"/>
  <c r="AH92" i="3" s="1"/>
  <c r="BI14" i="515" s="1"/>
  <c r="AV53" i="515"/>
  <c r="AW53" i="515"/>
  <c r="AP53" i="515"/>
  <c r="R53" i="515"/>
  <c r="AR43" i="515"/>
  <c r="Z406" i="3"/>
  <c r="AD406" i="3"/>
  <c r="AF406" i="3"/>
  <c r="AE406" i="3"/>
  <c r="P50" i="515"/>
  <c r="AG163" i="3"/>
  <c r="AP25" i="515"/>
  <c r="AV25" i="515"/>
  <c r="AW25" i="515"/>
  <c r="R25" i="515"/>
  <c r="AE187" i="3"/>
  <c r="P26" i="515"/>
  <c r="Z187" i="3"/>
  <c r="AF187" i="3"/>
  <c r="AD187" i="3"/>
  <c r="Z245" i="3"/>
  <c r="AF245" i="3"/>
  <c r="AD245" i="3"/>
  <c r="AE245" i="3"/>
  <c r="P34" i="515"/>
  <c r="AG242" i="3"/>
  <c r="Z154" i="3"/>
  <c r="AF154" i="3"/>
  <c r="AE154" i="3"/>
  <c r="AD154" i="3"/>
  <c r="P20" i="515"/>
  <c r="Z384" i="3"/>
  <c r="AF384" i="3"/>
  <c r="AE384" i="3"/>
  <c r="AD384" i="3"/>
  <c r="AF331" i="3"/>
  <c r="AD331" i="3"/>
  <c r="Z331" i="3"/>
  <c r="AE331" i="3"/>
  <c r="AE278" i="3"/>
  <c r="Z278" i="3"/>
  <c r="AF278" i="3"/>
  <c r="AD278" i="3"/>
  <c r="AE401" i="3"/>
  <c r="AF401" i="3"/>
  <c r="Z401" i="3"/>
  <c r="AD401" i="3"/>
  <c r="Z136" i="3"/>
  <c r="AF136" i="3"/>
  <c r="AE136" i="3"/>
  <c r="AD136" i="3"/>
  <c r="Z287" i="3"/>
  <c r="AF287" i="3"/>
  <c r="AE287" i="3"/>
  <c r="AD287" i="3"/>
  <c r="Z322" i="3"/>
  <c r="AF322" i="3"/>
  <c r="AE322" i="3"/>
  <c r="AD322" i="3"/>
  <c r="Z167" i="3"/>
  <c r="AE167" i="3"/>
  <c r="AF167" i="3"/>
  <c r="AD167" i="3"/>
  <c r="AF124" i="3"/>
  <c r="AE124" i="3"/>
  <c r="Z124" i="3"/>
  <c r="AD124" i="3"/>
  <c r="AF389" i="3"/>
  <c r="AE389" i="3"/>
  <c r="Z389" i="3"/>
  <c r="AD389" i="3"/>
  <c r="AE165" i="3"/>
  <c r="Z165" i="3"/>
  <c r="AF165" i="3"/>
  <c r="AD165" i="3"/>
  <c r="AF127" i="3"/>
  <c r="Z127" i="3"/>
  <c r="AE127" i="3"/>
  <c r="AD127" i="3"/>
  <c r="AE341" i="3"/>
  <c r="AF341" i="3"/>
  <c r="Z341" i="3"/>
  <c r="AD341" i="3"/>
  <c r="AE398" i="3"/>
  <c r="AF398" i="3"/>
  <c r="Z398" i="3"/>
  <c r="AD398" i="3"/>
  <c r="AE215" i="3"/>
  <c r="Z215" i="3"/>
  <c r="AF215" i="3"/>
  <c r="AD215" i="3"/>
  <c r="AE339" i="3"/>
  <c r="AF339" i="3"/>
  <c r="Z339" i="3"/>
  <c r="AD339" i="3"/>
  <c r="Z214" i="3"/>
  <c r="AF214" i="3"/>
  <c r="AE214" i="3"/>
  <c r="AD214" i="3"/>
  <c r="AF403" i="3"/>
  <c r="AE403" i="3"/>
  <c r="Z403" i="3"/>
  <c r="AD403" i="3"/>
  <c r="AE251" i="3"/>
  <c r="Z251" i="3"/>
  <c r="AF251" i="3"/>
  <c r="AD251" i="3"/>
  <c r="AF144" i="3"/>
  <c r="Z144" i="3"/>
  <c r="AE144" i="3"/>
  <c r="AD144" i="3"/>
  <c r="AF192" i="3"/>
  <c r="AE192" i="3"/>
  <c r="Z192" i="3"/>
  <c r="AD192" i="3"/>
  <c r="AE316" i="3"/>
  <c r="AF316" i="3"/>
  <c r="Z316" i="3"/>
  <c r="AD316" i="3"/>
  <c r="AF292" i="3"/>
  <c r="Z292" i="3"/>
  <c r="AE292" i="3"/>
  <c r="AD292" i="3"/>
  <c r="Z367" i="3"/>
  <c r="AE367" i="3"/>
  <c r="AF367" i="3"/>
  <c r="AD367" i="3"/>
  <c r="AE128" i="3"/>
  <c r="AF128" i="3"/>
  <c r="Z128" i="3"/>
  <c r="AD128" i="3"/>
  <c r="AF203" i="3"/>
  <c r="Z203" i="3"/>
  <c r="AE203" i="3"/>
  <c r="AD203" i="3"/>
  <c r="AE310" i="3"/>
  <c r="AF310" i="3"/>
  <c r="Z310" i="3"/>
  <c r="AD310" i="3"/>
  <c r="Z126" i="3"/>
  <c r="AF126" i="3"/>
  <c r="AE126" i="3"/>
  <c r="AD126" i="3"/>
  <c r="AF391" i="3"/>
  <c r="AE391" i="3"/>
  <c r="Z391" i="3"/>
  <c r="AD391" i="3"/>
  <c r="AF253" i="3"/>
  <c r="Z253" i="3"/>
  <c r="AE253" i="3"/>
  <c r="AD253" i="3"/>
  <c r="AE427" i="3"/>
  <c r="Z427" i="3"/>
  <c r="AF427" i="3"/>
  <c r="AD427" i="3"/>
  <c r="AF115" i="3"/>
  <c r="Z115" i="3"/>
  <c r="AE115" i="3"/>
  <c r="AD115" i="3"/>
  <c r="P51" i="515"/>
  <c r="Z409" i="3"/>
  <c r="AE409" i="3"/>
  <c r="BK51" i="515" s="1"/>
  <c r="BO51" i="515" s="1"/>
  <c r="AD409" i="3"/>
  <c r="Z172" i="3"/>
  <c r="P23" i="515"/>
  <c r="AE172" i="3"/>
  <c r="AD172" i="3"/>
  <c r="AF172" i="3"/>
  <c r="AF422" i="3"/>
  <c r="Z422" i="3"/>
  <c r="AE422" i="3"/>
  <c r="AD422" i="3"/>
  <c r="AE123" i="3"/>
  <c r="Z123" i="3"/>
  <c r="AF123" i="3"/>
  <c r="AD123" i="3"/>
  <c r="AF216" i="3"/>
  <c r="Z216" i="3"/>
  <c r="AE216" i="3"/>
  <c r="AD216" i="3"/>
  <c r="P29" i="515"/>
  <c r="AE220" i="3"/>
  <c r="Z220" i="3"/>
  <c r="AD220" i="3"/>
  <c r="AF220" i="3"/>
  <c r="Z375" i="3"/>
  <c r="AF375" i="3"/>
  <c r="AE375" i="3"/>
  <c r="AD375" i="3"/>
  <c r="AG433" i="3"/>
  <c r="Z430" i="3"/>
  <c r="AF430" i="3"/>
  <c r="AD430" i="3"/>
  <c r="P54" i="515"/>
  <c r="AE430" i="3"/>
  <c r="AR40" i="515"/>
  <c r="Z332" i="3"/>
  <c r="AF332" i="3"/>
  <c r="AE332" i="3"/>
  <c r="AD332" i="3"/>
  <c r="P43" i="515"/>
  <c r="Z337" i="3"/>
  <c r="P44" i="515"/>
  <c r="AF337" i="3"/>
  <c r="AE337" i="3"/>
  <c r="AD337" i="3"/>
  <c r="AG87" i="3"/>
  <c r="Z305" i="3"/>
  <c r="AE305" i="3"/>
  <c r="AF305" i="3"/>
  <c r="AD305" i="3"/>
  <c r="Z170" i="3"/>
  <c r="AE170" i="3"/>
  <c r="AF170" i="3"/>
  <c r="AD170" i="3"/>
  <c r="Z436" i="3"/>
  <c r="AF436" i="3"/>
  <c r="AE436" i="3"/>
  <c r="AD436" i="3"/>
  <c r="Z125" i="3"/>
  <c r="AF125" i="3"/>
  <c r="AE125" i="3"/>
  <c r="AD125" i="3"/>
  <c r="Z73" i="3"/>
  <c r="AE73" i="3"/>
  <c r="AF73" i="3"/>
  <c r="AD73" i="3"/>
  <c r="AF382" i="3"/>
  <c r="Z382" i="3"/>
  <c r="AE382" i="3"/>
  <c r="AD382" i="3"/>
  <c r="Z249" i="3"/>
  <c r="AE249" i="3"/>
  <c r="AF249" i="3"/>
  <c r="AD249" i="3"/>
  <c r="Z383" i="3"/>
  <c r="AE383" i="3"/>
  <c r="AF383" i="3"/>
  <c r="AD383" i="3"/>
  <c r="AX24" i="515"/>
  <c r="AF169" i="3"/>
  <c r="Z169" i="3"/>
  <c r="AE169" i="3"/>
  <c r="AD169" i="3"/>
  <c r="Z224" i="3"/>
  <c r="AE224" i="3"/>
  <c r="AF224" i="3"/>
  <c r="AD224" i="3"/>
  <c r="AE347" i="3"/>
  <c r="AF347" i="3"/>
  <c r="Z347" i="3"/>
  <c r="AD347" i="3"/>
  <c r="Z400" i="3"/>
  <c r="AF400" i="3"/>
  <c r="AE400" i="3"/>
  <c r="AD400" i="3"/>
  <c r="AF196" i="3"/>
  <c r="Z196" i="3"/>
  <c r="AE196" i="3"/>
  <c r="AD196" i="3"/>
  <c r="AF355" i="3"/>
  <c r="AE355" i="3"/>
  <c r="Z355" i="3"/>
  <c r="AD355" i="3"/>
  <c r="AE437" i="3"/>
  <c r="Z437" i="3"/>
  <c r="AF437" i="3"/>
  <c r="AD437" i="3"/>
  <c r="AE162" i="3"/>
  <c r="AF162" i="3"/>
  <c r="Z162" i="3"/>
  <c r="AD162" i="3"/>
  <c r="Z411" i="3"/>
  <c r="AF411" i="3"/>
  <c r="AE411" i="3"/>
  <c r="AD411" i="3"/>
  <c r="AF277" i="3"/>
  <c r="Z277" i="3"/>
  <c r="AE277" i="3"/>
  <c r="AD277" i="3"/>
  <c r="Z338" i="3"/>
  <c r="AF338" i="3"/>
  <c r="AE338" i="3"/>
  <c r="AD338" i="3"/>
  <c r="AF349" i="3"/>
  <c r="Z349" i="3"/>
  <c r="AE349" i="3"/>
  <c r="AD349" i="3"/>
  <c r="Z300" i="3"/>
  <c r="AE300" i="3"/>
  <c r="AF300" i="3"/>
  <c r="AD300" i="3"/>
  <c r="AE150" i="3"/>
  <c r="Z150" i="3"/>
  <c r="AF150" i="3"/>
  <c r="AD150" i="3"/>
  <c r="AR39" i="515"/>
  <c r="AF281" i="3"/>
  <c r="Z281" i="3"/>
  <c r="AE281" i="3"/>
  <c r="AD281" i="3"/>
  <c r="Z99" i="3"/>
  <c r="AE99" i="3"/>
  <c r="AF99" i="3"/>
  <c r="AD99" i="3"/>
  <c r="Z89" i="3"/>
  <c r="AE89" i="3"/>
  <c r="AF89" i="3"/>
  <c r="AD89" i="3"/>
  <c r="AF299" i="3"/>
  <c r="Z299" i="3"/>
  <c r="AE299" i="3"/>
  <c r="AD299" i="3"/>
  <c r="AF209" i="3"/>
  <c r="Z209" i="3"/>
  <c r="AE209" i="3"/>
  <c r="AD209" i="3"/>
  <c r="AF94" i="3"/>
  <c r="Z94" i="3"/>
  <c r="AE94" i="3"/>
  <c r="AD94" i="3"/>
  <c r="Z221" i="3"/>
  <c r="AE221" i="3"/>
  <c r="AF221" i="3"/>
  <c r="AD221" i="3"/>
  <c r="Z261" i="3"/>
  <c r="AE261" i="3"/>
  <c r="AF261" i="3"/>
  <c r="AD261" i="3"/>
  <c r="Z342" i="3"/>
  <c r="AF342" i="3"/>
  <c r="AE342" i="3"/>
  <c r="AD342" i="3"/>
  <c r="Z288" i="3"/>
  <c r="AE288" i="3"/>
  <c r="AF288" i="3"/>
  <c r="AD288" i="3"/>
  <c r="AV45" i="515"/>
  <c r="AP45" i="515"/>
  <c r="AW45" i="515"/>
  <c r="R45" i="515"/>
  <c r="AG421" i="3"/>
  <c r="AP22" i="515"/>
  <c r="AW22" i="515"/>
  <c r="AV22" i="515"/>
  <c r="R22" i="515"/>
  <c r="AG205" i="3"/>
  <c r="AV41" i="515"/>
  <c r="AW41" i="515"/>
  <c r="AP41" i="515"/>
  <c r="R41" i="515"/>
  <c r="AG250" i="3"/>
  <c r="AG228" i="3"/>
  <c r="AG270" i="3"/>
  <c r="AG244" i="3"/>
  <c r="AG235" i="3"/>
  <c r="AG328" i="3"/>
  <c r="AG296" i="3"/>
  <c r="AG272" i="3"/>
  <c r="AG336" i="3"/>
  <c r="AG429" i="3"/>
  <c r="P38" i="515"/>
  <c r="AG329" i="3"/>
  <c r="AG439" i="3"/>
  <c r="AG145" i="3"/>
  <c r="AG223" i="3"/>
  <c r="AG312" i="3"/>
  <c r="AG394" i="3"/>
  <c r="AG419" i="3"/>
  <c r="AG264" i="3"/>
  <c r="AG388" i="3"/>
  <c r="AG78" i="3"/>
  <c r="AX25" i="515"/>
  <c r="AG413" i="3"/>
  <c r="P55" i="515"/>
  <c r="P21" i="515"/>
  <c r="P28" i="515"/>
  <c r="AX41" i="515"/>
  <c r="P25" i="515"/>
  <c r="P36" i="515"/>
  <c r="P30" i="515"/>
  <c r="AX56" i="515"/>
  <c r="AB34" i="515" l="1"/>
  <c r="AC34" i="515" s="1"/>
  <c r="N34" i="515"/>
  <c r="C35" i="39124" s="1"/>
  <c r="AI52" i="515"/>
  <c r="AI20" i="515"/>
  <c r="AC358" i="3"/>
  <c r="BK33" i="515"/>
  <c r="BO33" i="515" s="1"/>
  <c r="AJ23" i="515"/>
  <c r="BK47" i="515"/>
  <c r="BO47" i="515" s="1"/>
  <c r="AE46" i="39124"/>
  <c r="AI43" i="515"/>
  <c r="AJ12" i="515"/>
  <c r="AJ22" i="515"/>
  <c r="AJ53" i="515"/>
  <c r="AJ52" i="515"/>
  <c r="AI11" i="515"/>
  <c r="AJ49" i="515"/>
  <c r="AJ55" i="515"/>
  <c r="AB23" i="515"/>
  <c r="AC23" i="515" s="1"/>
  <c r="AI38" i="515"/>
  <c r="AJ44" i="515"/>
  <c r="AJ42" i="515"/>
  <c r="AI34" i="515"/>
  <c r="AJ31" i="515"/>
  <c r="AI49" i="515"/>
  <c r="AI29" i="515"/>
  <c r="AJ19" i="515"/>
  <c r="AJ36" i="515"/>
  <c r="AJ39" i="515"/>
  <c r="AJ20" i="515"/>
  <c r="AI16" i="515"/>
  <c r="AJ11" i="515"/>
  <c r="AJ30" i="515"/>
  <c r="AJ48" i="515"/>
  <c r="AJ28" i="515"/>
  <c r="AJ24" i="515"/>
  <c r="AI51" i="515"/>
  <c r="AI28" i="515"/>
  <c r="AI55" i="515"/>
  <c r="AJ38" i="515"/>
  <c r="AB22" i="515"/>
  <c r="AC22" i="515" s="1"/>
  <c r="AI14" i="515"/>
  <c r="N22" i="515"/>
  <c r="W23" i="39124" s="1"/>
  <c r="N39" i="515"/>
  <c r="AC291" i="3"/>
  <c r="Z442" i="3"/>
  <c r="Y442" i="3"/>
  <c r="N27" i="515"/>
  <c r="AC196" i="3"/>
  <c r="N50" i="515"/>
  <c r="AC404" i="3"/>
  <c r="AI50" i="515" s="1"/>
  <c r="N32" i="515"/>
  <c r="AC239" i="3"/>
  <c r="N19" i="515"/>
  <c r="AC139" i="3"/>
  <c r="N36" i="515"/>
  <c r="AC249" i="3"/>
  <c r="N35" i="515"/>
  <c r="AC247" i="3"/>
  <c r="N18" i="515"/>
  <c r="AC137" i="3"/>
  <c r="AI18" i="515" s="1"/>
  <c r="AB20" i="515"/>
  <c r="AC20" i="515" s="1"/>
  <c r="AB42" i="515"/>
  <c r="AC42" i="515" s="1"/>
  <c r="N53" i="515"/>
  <c r="AC420" i="3"/>
  <c r="N23" i="515"/>
  <c r="C25" i="39124"/>
  <c r="W25" i="39124"/>
  <c r="AB30" i="515"/>
  <c r="AC30" i="515" s="1"/>
  <c r="AB38" i="515"/>
  <c r="AC38" i="515" s="1"/>
  <c r="AB52" i="515"/>
  <c r="AC52" i="515" s="1"/>
  <c r="N44" i="515"/>
  <c r="AC331" i="3"/>
  <c r="AB43" i="515"/>
  <c r="AC43" i="515" s="1"/>
  <c r="N20" i="515"/>
  <c r="W52" i="39124"/>
  <c r="C52" i="39124"/>
  <c r="N54" i="515"/>
  <c r="AC430" i="3"/>
  <c r="AI54" i="515" s="1"/>
  <c r="N42" i="515"/>
  <c r="N16" i="515"/>
  <c r="AC121" i="3"/>
  <c r="AB49" i="515"/>
  <c r="AC49" i="515" s="1"/>
  <c r="N30" i="515"/>
  <c r="W48" i="39124"/>
  <c r="C48" i="39124"/>
  <c r="N38" i="515"/>
  <c r="N52" i="515"/>
  <c r="W15" i="39124"/>
  <c r="C15" i="39124"/>
  <c r="BK56" i="515"/>
  <c r="BO56" i="515" s="1"/>
  <c r="N15" i="515"/>
  <c r="AC94" i="3"/>
  <c r="AI15" i="515" s="1"/>
  <c r="N21" i="515"/>
  <c r="AC166" i="3"/>
  <c r="N13" i="515"/>
  <c r="AC88" i="3"/>
  <c r="N33" i="515"/>
  <c r="AC240" i="3"/>
  <c r="AI33" i="515" s="1"/>
  <c r="N43" i="515"/>
  <c r="N45" i="515"/>
  <c r="AC349" i="3"/>
  <c r="N25" i="515"/>
  <c r="AC186" i="3"/>
  <c r="N49" i="515"/>
  <c r="AB17" i="515"/>
  <c r="AC17" i="515" s="1"/>
  <c r="AB48" i="515"/>
  <c r="AC48" i="515" s="1"/>
  <c r="AB29" i="515"/>
  <c r="AC29" i="515" s="1"/>
  <c r="AB28" i="515"/>
  <c r="AC28" i="515" s="1"/>
  <c r="AB55" i="515"/>
  <c r="AC55" i="515" s="1"/>
  <c r="BL56" i="515"/>
  <c r="BP56" i="515" s="1"/>
  <c r="N12" i="515"/>
  <c r="AC81" i="3"/>
  <c r="N46" i="515"/>
  <c r="AC351" i="3"/>
  <c r="N40" i="515"/>
  <c r="AC304" i="3"/>
  <c r="AI40" i="515" s="1"/>
  <c r="N56" i="515"/>
  <c r="AC441" i="3"/>
  <c r="N7" i="515"/>
  <c r="N9" i="515"/>
  <c r="N11" i="515"/>
  <c r="N37" i="515"/>
  <c r="AC261" i="3"/>
  <c r="N41" i="515"/>
  <c r="AC305" i="3"/>
  <c r="AI41" i="515" s="1"/>
  <c r="AB11" i="515"/>
  <c r="AC11" i="515" s="1"/>
  <c r="N26" i="515"/>
  <c r="AC188" i="3"/>
  <c r="AI26" i="515" s="1"/>
  <c r="N31" i="515"/>
  <c r="AC231" i="3"/>
  <c r="N17" i="515"/>
  <c r="N48" i="515"/>
  <c r="N29" i="515"/>
  <c r="N28" i="515"/>
  <c r="N55" i="515"/>
  <c r="E33" i="39124"/>
  <c r="AE442" i="3"/>
  <c r="AD442" i="3"/>
  <c r="AF442" i="3"/>
  <c r="AG309" i="3"/>
  <c r="AE34" i="39124"/>
  <c r="BL25" i="515"/>
  <c r="BP25" i="515" s="1"/>
  <c r="AG356" i="3"/>
  <c r="AH357" i="3" s="1"/>
  <c r="BI45" i="515" s="1"/>
  <c r="BM45" i="515" s="1"/>
  <c r="BK30" i="515"/>
  <c r="BO30" i="515" s="1"/>
  <c r="BJ13" i="515"/>
  <c r="BN13" i="515" s="1"/>
  <c r="AE36" i="39124"/>
  <c r="E42" i="39124"/>
  <c r="BK43" i="515"/>
  <c r="BO43" i="515" s="1"/>
  <c r="BJ25" i="515"/>
  <c r="BN25" i="515" s="1"/>
  <c r="BJ45" i="515"/>
  <c r="BN45" i="515" s="1"/>
  <c r="BL35" i="515"/>
  <c r="BP35" i="515" s="1"/>
  <c r="BL43" i="515"/>
  <c r="BP43" i="515" s="1"/>
  <c r="BL54" i="515"/>
  <c r="BP54" i="515" s="1"/>
  <c r="BJ36" i="515"/>
  <c r="BN36" i="515" s="1"/>
  <c r="BK45" i="515"/>
  <c r="BO45" i="515" s="1"/>
  <c r="BJ53" i="515"/>
  <c r="BN53" i="515" s="1"/>
  <c r="BL23" i="515"/>
  <c r="BP23" i="515" s="1"/>
  <c r="BK23" i="515"/>
  <c r="BO23" i="515" s="1"/>
  <c r="BL31" i="515"/>
  <c r="BP31" i="515" s="1"/>
  <c r="BK31" i="515"/>
  <c r="BO31" i="515" s="1"/>
  <c r="AG102" i="3"/>
  <c r="AG77" i="3"/>
  <c r="AG412" i="3"/>
  <c r="AG371" i="3"/>
  <c r="AG81" i="3"/>
  <c r="AG129" i="3"/>
  <c r="AG352" i="3"/>
  <c r="AG240" i="3"/>
  <c r="BK21" i="515"/>
  <c r="BO21" i="515" s="1"/>
  <c r="BJ28" i="515"/>
  <c r="BN28" i="515" s="1"/>
  <c r="BK41" i="515"/>
  <c r="BO41" i="515" s="1"/>
  <c r="BL28" i="515"/>
  <c r="BP28" i="515" s="1"/>
  <c r="BL52" i="515"/>
  <c r="BP52" i="515" s="1"/>
  <c r="BL41" i="515"/>
  <c r="BP41" i="515" s="1"/>
  <c r="BL15" i="515"/>
  <c r="BP15" i="515" s="1"/>
  <c r="BL45" i="515"/>
  <c r="BP45" i="515" s="1"/>
  <c r="BK35" i="515"/>
  <c r="BO35" i="515" s="1"/>
  <c r="BL47" i="515"/>
  <c r="BP47" i="515" s="1"/>
  <c r="BL37" i="515"/>
  <c r="BP37" i="515" s="1"/>
  <c r="BK53" i="515"/>
  <c r="BO53" i="515" s="1"/>
  <c r="BK17" i="515"/>
  <c r="BO17" i="515" s="1"/>
  <c r="BJ30" i="515"/>
  <c r="BN30" i="515" s="1"/>
  <c r="BL21" i="515"/>
  <c r="BP21" i="515" s="1"/>
  <c r="BK40" i="515"/>
  <c r="BO40" i="515" s="1"/>
  <c r="BK25" i="515"/>
  <c r="BO25" i="515" s="1"/>
  <c r="BL40" i="515"/>
  <c r="AG184" i="3"/>
  <c r="BK24" i="515"/>
  <c r="BO24" i="515" s="1"/>
  <c r="AG180" i="3"/>
  <c r="BL24" i="515"/>
  <c r="AG178" i="3"/>
  <c r="BJ24" i="515"/>
  <c r="BN24" i="515" s="1"/>
  <c r="BK13" i="515"/>
  <c r="BO13" i="515" s="1"/>
  <c r="BK52" i="515"/>
  <c r="BO52" i="515" s="1"/>
  <c r="BK54" i="515"/>
  <c r="BO54" i="515" s="1"/>
  <c r="BK34" i="515"/>
  <c r="BO34" i="515" s="1"/>
  <c r="BK50" i="515"/>
  <c r="BO50" i="515" s="1"/>
  <c r="BL12" i="515"/>
  <c r="BP12" i="515" s="1"/>
  <c r="BK12" i="515"/>
  <c r="BO12" i="515" s="1"/>
  <c r="BL30" i="515"/>
  <c r="BP30" i="515" s="1"/>
  <c r="AG183" i="3"/>
  <c r="AG179" i="3"/>
  <c r="AH57" i="515"/>
  <c r="AG57" i="515"/>
  <c r="AE14" i="39124"/>
  <c r="BK38" i="515"/>
  <c r="BO38" i="515" s="1"/>
  <c r="BL55" i="515"/>
  <c r="BP55" i="515" s="1"/>
  <c r="AG375" i="3"/>
  <c r="BL53" i="515"/>
  <c r="BP53" i="515" s="1"/>
  <c r="AG115" i="3"/>
  <c r="AG427" i="3"/>
  <c r="AG253" i="3"/>
  <c r="AG391" i="3"/>
  <c r="AG126" i="3"/>
  <c r="AG310" i="3"/>
  <c r="AG203" i="3"/>
  <c r="AG128" i="3"/>
  <c r="AG367" i="3"/>
  <c r="AG292" i="3"/>
  <c r="AG316" i="3"/>
  <c r="AG251" i="3"/>
  <c r="AG403" i="3"/>
  <c r="AG214" i="3"/>
  <c r="AG339" i="3"/>
  <c r="AG215" i="3"/>
  <c r="AG398" i="3"/>
  <c r="AG341" i="3"/>
  <c r="AG127" i="3"/>
  <c r="AG389" i="3"/>
  <c r="AG124" i="3"/>
  <c r="AG322" i="3"/>
  <c r="AG287" i="3"/>
  <c r="AG401" i="3"/>
  <c r="AG278" i="3"/>
  <c r="AG384" i="3"/>
  <c r="BL34" i="515"/>
  <c r="BP34" i="515" s="1"/>
  <c r="BL50" i="515"/>
  <c r="BP50" i="515" s="1"/>
  <c r="AG397" i="3"/>
  <c r="BK37" i="515"/>
  <c r="BO37" i="515" s="1"/>
  <c r="BL17" i="515"/>
  <c r="BP17" i="515" s="1"/>
  <c r="AG229" i="3"/>
  <c r="AG121" i="3"/>
  <c r="AG361" i="3"/>
  <c r="AG231" i="3"/>
  <c r="AG238" i="3"/>
  <c r="AG353" i="3"/>
  <c r="AG171" i="3"/>
  <c r="AG160" i="3"/>
  <c r="AG326" i="3"/>
  <c r="AG212" i="3"/>
  <c r="AG399" i="3"/>
  <c r="AG96" i="3"/>
  <c r="AG82" i="3"/>
  <c r="AG351" i="3"/>
  <c r="AG273" i="3"/>
  <c r="AG372" i="3"/>
  <c r="AG319" i="3"/>
  <c r="AG293" i="3"/>
  <c r="AG95" i="3"/>
  <c r="AG415" i="3"/>
  <c r="AG191" i="3"/>
  <c r="AG137" i="3"/>
  <c r="AG298" i="3"/>
  <c r="AG340" i="3"/>
  <c r="AG83" i="3"/>
  <c r="AG103" i="3"/>
  <c r="AG122" i="3"/>
  <c r="AG325" i="3"/>
  <c r="AG158" i="3"/>
  <c r="BL19" i="515"/>
  <c r="BP19" i="515" s="1"/>
  <c r="AG192" i="3"/>
  <c r="AG144" i="3"/>
  <c r="AG165" i="3"/>
  <c r="AG167" i="3"/>
  <c r="AG136" i="3"/>
  <c r="AG177" i="3"/>
  <c r="AG156" i="3"/>
  <c r="AE54" i="39124"/>
  <c r="G25" i="39124"/>
  <c r="AM25" i="39124"/>
  <c r="BK28" i="515"/>
  <c r="BO28" i="515" s="1"/>
  <c r="BK15" i="515"/>
  <c r="BO15" i="515" s="1"/>
  <c r="AG349" i="3"/>
  <c r="AG338" i="3"/>
  <c r="AG355" i="3"/>
  <c r="AG400" i="3"/>
  <c r="AG347" i="3"/>
  <c r="AG224" i="3"/>
  <c r="AG169" i="3"/>
  <c r="AG383" i="3"/>
  <c r="AG249" i="3"/>
  <c r="AG382" i="3"/>
  <c r="AG73" i="3"/>
  <c r="AG125" i="3"/>
  <c r="AG170" i="3"/>
  <c r="AG396" i="3"/>
  <c r="AG72" i="3"/>
  <c r="AG404" i="3"/>
  <c r="AG424" i="3"/>
  <c r="AG208" i="3"/>
  <c r="AG88" i="3"/>
  <c r="BL13" i="515"/>
  <c r="BP13" i="515" s="1"/>
  <c r="AG85" i="3"/>
  <c r="AG311" i="3"/>
  <c r="AG425" i="3"/>
  <c r="AG324" i="3"/>
  <c r="AG97" i="3"/>
  <c r="AG162" i="3"/>
  <c r="AG150" i="3"/>
  <c r="BK19" i="515"/>
  <c r="BO19" i="515" s="1"/>
  <c r="AG143" i="3"/>
  <c r="AG437" i="3"/>
  <c r="AG436" i="3"/>
  <c r="BK55" i="515"/>
  <c r="BO55" i="515" s="1"/>
  <c r="AG411" i="3"/>
  <c r="AG418" i="3"/>
  <c r="BL36" i="515"/>
  <c r="BP36" i="515" s="1"/>
  <c r="BK36" i="515"/>
  <c r="BO36" i="515" s="1"/>
  <c r="AG300" i="3"/>
  <c r="AG305" i="3"/>
  <c r="AG302" i="3"/>
  <c r="AG297" i="3"/>
  <c r="AG277" i="3"/>
  <c r="AG274" i="3"/>
  <c r="AG275" i="3"/>
  <c r="AG279" i="3"/>
  <c r="BL38" i="515"/>
  <c r="BP38" i="515" s="1"/>
  <c r="AG199" i="3"/>
  <c r="AG196" i="3"/>
  <c r="AG188" i="3"/>
  <c r="BM14" i="515"/>
  <c r="I35" i="515"/>
  <c r="E37" i="39124"/>
  <c r="I36" i="515"/>
  <c r="AE37" i="39124"/>
  <c r="E39" i="39124"/>
  <c r="I38" i="515"/>
  <c r="AE39" i="39124"/>
  <c r="G23" i="39124"/>
  <c r="AM23" i="39124"/>
  <c r="AG337" i="3"/>
  <c r="BJ44" i="515"/>
  <c r="BN44" i="515" s="1"/>
  <c r="BJ43" i="515"/>
  <c r="BN43" i="515" s="1"/>
  <c r="AG332" i="3"/>
  <c r="AP40" i="515"/>
  <c r="AW40" i="515"/>
  <c r="AV40" i="515"/>
  <c r="R40" i="515"/>
  <c r="E55" i="39124"/>
  <c r="I54" i="515"/>
  <c r="AE55" i="39124"/>
  <c r="I29" i="515"/>
  <c r="E30" i="39124"/>
  <c r="AE30" i="39124"/>
  <c r="BJ23" i="515"/>
  <c r="BN23" i="515" s="1"/>
  <c r="AG172" i="3"/>
  <c r="I23" i="515"/>
  <c r="E24" i="39124"/>
  <c r="AE24" i="39124"/>
  <c r="BJ51" i="515"/>
  <c r="BN51" i="515" s="1"/>
  <c r="AG409" i="3"/>
  <c r="AH409" i="3" s="1"/>
  <c r="I20" i="515"/>
  <c r="E21" i="39124"/>
  <c r="AE21" i="39124"/>
  <c r="AG187" i="3"/>
  <c r="BJ26" i="515"/>
  <c r="BN26" i="515" s="1"/>
  <c r="G26" i="39124"/>
  <c r="AM26" i="39124"/>
  <c r="I50" i="515"/>
  <c r="E51" i="39124"/>
  <c r="AE51" i="39124"/>
  <c r="E48" i="39124"/>
  <c r="I47" i="515"/>
  <c r="AE48" i="39124"/>
  <c r="AG80" i="3"/>
  <c r="BJ12" i="515"/>
  <c r="BN12" i="515" s="1"/>
  <c r="E13" i="39124"/>
  <c r="I12" i="515"/>
  <c r="AE13" i="39124"/>
  <c r="I16" i="515"/>
  <c r="E17" i="39124"/>
  <c r="AE17" i="39124"/>
  <c r="E50" i="39124"/>
  <c r="I49" i="515"/>
  <c r="AE50" i="39124"/>
  <c r="AP14" i="515"/>
  <c r="AW14" i="515"/>
  <c r="BH14" i="515"/>
  <c r="AQ14" i="515" s="1"/>
  <c r="AV14" i="515"/>
  <c r="R14" i="515"/>
  <c r="AW31" i="515"/>
  <c r="AV31" i="515"/>
  <c r="AP31" i="515"/>
  <c r="R31" i="515"/>
  <c r="BJ27" i="515"/>
  <c r="BN27" i="515" s="1"/>
  <c r="AG195" i="3"/>
  <c r="I24" i="515"/>
  <c r="E25" i="39124"/>
  <c r="AE25" i="39124"/>
  <c r="D5" i="868"/>
  <c r="E4" i="868" s="1"/>
  <c r="AG358" i="3"/>
  <c r="BJ46" i="515"/>
  <c r="BN46" i="515" s="1"/>
  <c r="E47" i="39124"/>
  <c r="I46" i="515"/>
  <c r="AE47" i="39124"/>
  <c r="AG365" i="3"/>
  <c r="BJ48" i="515"/>
  <c r="BN48" i="515" s="1"/>
  <c r="AP50" i="515"/>
  <c r="AW50" i="515"/>
  <c r="AV50" i="515"/>
  <c r="R50" i="515"/>
  <c r="I31" i="515"/>
  <c r="E32" i="39124"/>
  <c r="AE32" i="39124"/>
  <c r="I15" i="515"/>
  <c r="E16" i="39124"/>
  <c r="AE16" i="39124"/>
  <c r="E53" i="39124"/>
  <c r="I52" i="515"/>
  <c r="AE53" i="39124"/>
  <c r="G57" i="39124"/>
  <c r="AM57" i="39124"/>
  <c r="G53" i="39124"/>
  <c r="AM53" i="39124"/>
  <c r="G38" i="39124"/>
  <c r="AM38" i="39124"/>
  <c r="G20" i="39124"/>
  <c r="AM20" i="39124"/>
  <c r="AW20" i="515"/>
  <c r="AP20" i="515"/>
  <c r="AV20" i="515"/>
  <c r="R20" i="515"/>
  <c r="BL11" i="515"/>
  <c r="BK11" i="515"/>
  <c r="AW28" i="515"/>
  <c r="AV28" i="515"/>
  <c r="AP28" i="515"/>
  <c r="R28" i="515"/>
  <c r="AW46" i="515"/>
  <c r="AP46" i="515"/>
  <c r="AV46" i="515"/>
  <c r="R46" i="515"/>
  <c r="AP44" i="515"/>
  <c r="AV44" i="515"/>
  <c r="AW44" i="515"/>
  <c r="R44" i="515"/>
  <c r="AV29" i="515"/>
  <c r="AW29" i="515"/>
  <c r="AP29" i="515"/>
  <c r="R29" i="515"/>
  <c r="AP18" i="515"/>
  <c r="AV18" i="515"/>
  <c r="AW18" i="515"/>
  <c r="R18" i="515"/>
  <c r="AG441" i="3"/>
  <c r="AH441" i="3" s="1"/>
  <c r="BN56" i="515"/>
  <c r="E57" i="39124"/>
  <c r="I56" i="515"/>
  <c r="AE57" i="39124"/>
  <c r="B2" i="868"/>
  <c r="B27" i="39125"/>
  <c r="AY57" i="515"/>
  <c r="B4" i="868"/>
  <c r="B29" i="39125"/>
  <c r="BA57" i="515"/>
  <c r="G50" i="39124"/>
  <c r="AM50" i="39124"/>
  <c r="I22" i="515"/>
  <c r="E23" i="39124"/>
  <c r="AE23" i="39124"/>
  <c r="AW51" i="515"/>
  <c r="AP51" i="515"/>
  <c r="AV51" i="515"/>
  <c r="R51" i="515"/>
  <c r="AW54" i="515"/>
  <c r="AP54" i="515"/>
  <c r="AV54" i="515"/>
  <c r="R54" i="515"/>
  <c r="BJ42" i="515"/>
  <c r="BN42" i="515" s="1"/>
  <c r="AG327" i="3"/>
  <c r="E43" i="39124"/>
  <c r="I42" i="515"/>
  <c r="AE43" i="39124"/>
  <c r="I40" i="515"/>
  <c r="E41" i="39124"/>
  <c r="AE41" i="39124"/>
  <c r="AW17" i="515"/>
  <c r="AV17" i="515"/>
  <c r="AP17" i="515"/>
  <c r="R17" i="515"/>
  <c r="BJ39" i="515"/>
  <c r="BN39" i="515" s="1"/>
  <c r="AG295" i="3"/>
  <c r="AP21" i="515"/>
  <c r="AV21" i="515"/>
  <c r="AW21" i="515"/>
  <c r="R21" i="515"/>
  <c r="BL44" i="515"/>
  <c r="BP44" i="515" s="1"/>
  <c r="BL29" i="515"/>
  <c r="BP29" i="515" s="1"/>
  <c r="AG331" i="3"/>
  <c r="BK20" i="515"/>
  <c r="BO20" i="515" s="1"/>
  <c r="BK26" i="515"/>
  <c r="BO26" i="515" s="1"/>
  <c r="BJ41" i="515"/>
  <c r="BN41" i="515" s="1"/>
  <c r="BK16" i="515"/>
  <c r="BO16" i="515" s="1"/>
  <c r="BJ52" i="515"/>
  <c r="BN52" i="515" s="1"/>
  <c r="AX31" i="515"/>
  <c r="BL27" i="515"/>
  <c r="BP27" i="515" s="1"/>
  <c r="BJ19" i="515"/>
  <c r="BN19" i="515" s="1"/>
  <c r="AG107" i="3"/>
  <c r="AG423" i="3"/>
  <c r="AG101" i="3"/>
  <c r="AG84" i="3"/>
  <c r="AG315" i="3"/>
  <c r="AG247" i="3"/>
  <c r="AG138" i="3"/>
  <c r="AG147" i="3"/>
  <c r="AG285" i="3"/>
  <c r="AG90" i="3"/>
  <c r="AG256" i="3"/>
  <c r="AG104" i="3"/>
  <c r="AG255" i="3"/>
  <c r="AG100" i="3"/>
  <c r="AG280" i="3"/>
  <c r="AG333" i="3"/>
  <c r="AG265" i="3"/>
  <c r="AG113" i="3"/>
  <c r="AG148" i="3"/>
  <c r="AG350" i="3"/>
  <c r="AH244" i="3" s="1"/>
  <c r="BI33" i="515" s="1"/>
  <c r="BM33" i="515" s="1"/>
  <c r="AG369" i="3"/>
  <c r="AG175" i="3"/>
  <c r="AG116" i="3"/>
  <c r="AG345" i="3"/>
  <c r="AG226" i="3"/>
  <c r="AG289" i="3"/>
  <c r="AG362" i="3"/>
  <c r="AG330" i="3"/>
  <c r="BK48" i="515"/>
  <c r="BO48" i="515" s="1"/>
  <c r="AX50" i="515"/>
  <c r="BH32" i="515"/>
  <c r="AQ32" i="515" s="1"/>
  <c r="I14" i="515"/>
  <c r="AG283" i="3"/>
  <c r="AG139" i="3"/>
  <c r="AG239" i="3"/>
  <c r="AG79" i="3"/>
  <c r="AG213" i="3"/>
  <c r="AG258" i="3"/>
  <c r="AG262" i="3"/>
  <c r="AG291" i="3"/>
  <c r="AG260" i="3"/>
  <c r="AG200" i="3"/>
  <c r="AG86" i="3"/>
  <c r="AG151" i="3"/>
  <c r="AG304" i="3"/>
  <c r="AG110" i="3"/>
  <c r="AG360" i="3"/>
  <c r="AG405" i="3"/>
  <c r="AG166" i="3"/>
  <c r="AG348" i="3"/>
  <c r="AG318" i="3"/>
  <c r="AG204" i="3"/>
  <c r="AG140" i="3"/>
  <c r="AG252" i="3"/>
  <c r="AG370" i="3"/>
  <c r="AG354" i="3"/>
  <c r="AG218" i="3"/>
  <c r="AG233" i="3"/>
  <c r="AG426" i="3"/>
  <c r="AG198" i="3"/>
  <c r="AG434" i="3"/>
  <c r="AG217" i="3"/>
  <c r="AX44" i="515"/>
  <c r="AG286" i="3"/>
  <c r="I33" i="515"/>
  <c r="AG141" i="3"/>
  <c r="AG186" i="3"/>
  <c r="AG211" i="3"/>
  <c r="AG420" i="3"/>
  <c r="AG301" i="3"/>
  <c r="AG395" i="3"/>
  <c r="AG386" i="3"/>
  <c r="AG210" i="3"/>
  <c r="AG237" i="3"/>
  <c r="AG306" i="3"/>
  <c r="AG112" i="3"/>
  <c r="AG202" i="3"/>
  <c r="AG366" i="3"/>
  <c r="AG142" i="3"/>
  <c r="AG282" i="3"/>
  <c r="AG222" i="3"/>
  <c r="AG155" i="3"/>
  <c r="AG152" i="3"/>
  <c r="AG257" i="3"/>
  <c r="AG303" i="3"/>
  <c r="AG373" i="3"/>
  <c r="AG153" i="3"/>
  <c r="BL22" i="515"/>
  <c r="BP22" i="515" s="1"/>
  <c r="AX51" i="515"/>
  <c r="AG206" i="3"/>
  <c r="BK18" i="515"/>
  <c r="BO18" i="515" s="1"/>
  <c r="BL18" i="515"/>
  <c r="I32" i="515"/>
  <c r="BK39" i="515"/>
  <c r="BO39" i="515" s="1"/>
  <c r="I53" i="515"/>
  <c r="E31" i="39124"/>
  <c r="I30" i="515"/>
  <c r="AE31" i="39124"/>
  <c r="I25" i="515"/>
  <c r="E26" i="39124"/>
  <c r="AE26" i="39124"/>
  <c r="I28" i="515"/>
  <c r="E29" i="39124"/>
  <c r="AE29" i="39124"/>
  <c r="I21" i="515"/>
  <c r="E22" i="39124"/>
  <c r="AE22" i="39124"/>
  <c r="E56" i="39124"/>
  <c r="I55" i="515"/>
  <c r="AE56" i="39124"/>
  <c r="G42" i="39124"/>
  <c r="AM42" i="39124"/>
  <c r="G46" i="39124"/>
  <c r="AM46" i="39124"/>
  <c r="AP39" i="515"/>
  <c r="AV39" i="515"/>
  <c r="AW39" i="515"/>
  <c r="R39" i="515"/>
  <c r="E45" i="39124"/>
  <c r="I44" i="515"/>
  <c r="AE45" i="39124"/>
  <c r="E44" i="39124"/>
  <c r="I43" i="515"/>
  <c r="AE44" i="39124"/>
  <c r="BJ54" i="515"/>
  <c r="BN54" i="515" s="1"/>
  <c r="AG430" i="3"/>
  <c r="BJ29" i="515"/>
  <c r="BN29" i="515" s="1"/>
  <c r="AG220" i="3"/>
  <c r="E52" i="39124"/>
  <c r="I51" i="515"/>
  <c r="AE52" i="39124"/>
  <c r="BJ20" i="515"/>
  <c r="BN20" i="515" s="1"/>
  <c r="AG154" i="3"/>
  <c r="I34" i="515"/>
  <c r="E35" i="39124"/>
  <c r="AE35" i="39124"/>
  <c r="BJ34" i="515"/>
  <c r="BN34" i="515" s="1"/>
  <c r="AG245" i="3"/>
  <c r="I26" i="515"/>
  <c r="E27" i="39124"/>
  <c r="AE27" i="39124"/>
  <c r="BJ50" i="515"/>
  <c r="BN50" i="515" s="1"/>
  <c r="AG406" i="3"/>
  <c r="AW43" i="515"/>
  <c r="AV43" i="515"/>
  <c r="AP43" i="515"/>
  <c r="R43" i="515"/>
  <c r="G54" i="39124"/>
  <c r="AM54" i="39124"/>
  <c r="BJ47" i="515"/>
  <c r="BN47" i="515" s="1"/>
  <c r="AG364" i="3"/>
  <c r="AH364" i="3" s="1"/>
  <c r="BI47" i="515" s="1"/>
  <c r="BM47" i="515" s="1"/>
  <c r="AP13" i="515"/>
  <c r="AV13" i="515"/>
  <c r="AW13" i="515"/>
  <c r="R13" i="515"/>
  <c r="AG118" i="3"/>
  <c r="BJ16" i="515"/>
  <c r="BN16" i="515" s="1"/>
  <c r="AV38" i="515"/>
  <c r="AP38" i="515"/>
  <c r="AW38" i="515"/>
  <c r="R38" i="515"/>
  <c r="AG374" i="3"/>
  <c r="BJ49" i="515"/>
  <c r="BN49" i="515" s="1"/>
  <c r="AV27" i="515"/>
  <c r="AW27" i="515"/>
  <c r="AP27" i="515"/>
  <c r="R27" i="515"/>
  <c r="I27" i="515"/>
  <c r="E28" i="39124"/>
  <c r="AE28" i="39124"/>
  <c r="BJ37" i="515"/>
  <c r="BN37" i="515" s="1"/>
  <c r="AG263" i="3"/>
  <c r="E38" i="39124"/>
  <c r="I37" i="515"/>
  <c r="AE38" i="39124"/>
  <c r="AP30" i="515"/>
  <c r="AV30" i="515"/>
  <c r="AW30" i="515"/>
  <c r="R30" i="515"/>
  <c r="AP11" i="515"/>
  <c r="AW11" i="515"/>
  <c r="B19" i="39125"/>
  <c r="AV11" i="515"/>
  <c r="AR57" i="515"/>
  <c r="AX57" i="515" s="1"/>
  <c r="R11" i="515"/>
  <c r="BJ17" i="515"/>
  <c r="BN17" i="515" s="1"/>
  <c r="AG131" i="3"/>
  <c r="I17" i="515"/>
  <c r="E18" i="39124"/>
  <c r="AE18" i="39124"/>
  <c r="E49" i="39124"/>
  <c r="I48" i="515"/>
  <c r="AE49" i="39124"/>
  <c r="AP15" i="515"/>
  <c r="AV15" i="515"/>
  <c r="AW15" i="515"/>
  <c r="R15" i="515"/>
  <c r="E20" i="39124"/>
  <c r="I19" i="515"/>
  <c r="AE20" i="39124"/>
  <c r="G36" i="39124"/>
  <c r="AM36" i="39124"/>
  <c r="G33" i="39124"/>
  <c r="AM33" i="39124"/>
  <c r="I8" i="515"/>
  <c r="I7" i="515"/>
  <c r="I10" i="515"/>
  <c r="I9" i="515"/>
  <c r="I11" i="515"/>
  <c r="E12" i="39124"/>
  <c r="AE12" i="39124"/>
  <c r="BJ11" i="515"/>
  <c r="AG71" i="3"/>
  <c r="AP26" i="515"/>
  <c r="AV26" i="515"/>
  <c r="AW26" i="515"/>
  <c r="R26" i="515"/>
  <c r="AW48" i="515"/>
  <c r="AV48" i="515"/>
  <c r="AP48" i="515"/>
  <c r="R48" i="515"/>
  <c r="AP16" i="515"/>
  <c r="AV16" i="515"/>
  <c r="AW16" i="515"/>
  <c r="R16" i="515"/>
  <c r="AV47" i="515"/>
  <c r="AP47" i="515"/>
  <c r="AW47" i="515"/>
  <c r="R47" i="515"/>
  <c r="AV34" i="515"/>
  <c r="AW34" i="515"/>
  <c r="AP34" i="515"/>
  <c r="R34" i="515"/>
  <c r="AW55" i="515"/>
  <c r="AV55" i="515"/>
  <c r="AP55" i="515"/>
  <c r="R55" i="515"/>
  <c r="B28" i="39125"/>
  <c r="AZ57" i="515"/>
  <c r="B3" i="868"/>
  <c r="AV36" i="515"/>
  <c r="AP36" i="515"/>
  <c r="AW36" i="515"/>
  <c r="R36" i="515"/>
  <c r="AW33" i="515"/>
  <c r="AP33" i="515"/>
  <c r="AV33" i="515"/>
  <c r="R33" i="515"/>
  <c r="AG168" i="3"/>
  <c r="BJ22" i="515"/>
  <c r="BN22" i="515" s="1"/>
  <c r="AV23" i="515"/>
  <c r="AW23" i="515"/>
  <c r="AP23" i="515"/>
  <c r="R23" i="515"/>
  <c r="BJ18" i="515"/>
  <c r="BN18" i="515" s="1"/>
  <c r="AG133" i="3"/>
  <c r="E19" i="39124"/>
  <c r="I18" i="515"/>
  <c r="AE19" i="39124"/>
  <c r="BJ40" i="515"/>
  <c r="BN40" i="515" s="1"/>
  <c r="AG308" i="3"/>
  <c r="AH308" i="3" s="1"/>
  <c r="BI40" i="515" s="1"/>
  <c r="BM40" i="515" s="1"/>
  <c r="AP12" i="515"/>
  <c r="AW12" i="515"/>
  <c r="AV12" i="515"/>
  <c r="R12" i="515"/>
  <c r="E40" i="39124"/>
  <c r="I39" i="515"/>
  <c r="AE40" i="39124"/>
  <c r="AW42" i="515"/>
  <c r="AP42" i="515"/>
  <c r="AV42" i="515"/>
  <c r="R42" i="515"/>
  <c r="AG288" i="3"/>
  <c r="AG342" i="3"/>
  <c r="AG261" i="3"/>
  <c r="AG221" i="3"/>
  <c r="AG94" i="3"/>
  <c r="AG209" i="3"/>
  <c r="AG299" i="3"/>
  <c r="AG89" i="3"/>
  <c r="AG99" i="3"/>
  <c r="AG281" i="3"/>
  <c r="AX39" i="515"/>
  <c r="BK44" i="515"/>
  <c r="BO44" i="515" s="1"/>
  <c r="AX40" i="515"/>
  <c r="BJ55" i="515"/>
  <c r="BN55" i="515" s="1"/>
  <c r="BK29" i="515"/>
  <c r="BO29" i="515" s="1"/>
  <c r="AG216" i="3"/>
  <c r="AG123" i="3"/>
  <c r="AG422" i="3"/>
  <c r="BL20" i="515"/>
  <c r="BP20" i="515" s="1"/>
  <c r="BL26" i="515"/>
  <c r="BP26" i="515" s="1"/>
  <c r="BJ21" i="515"/>
  <c r="BN21" i="515" s="1"/>
  <c r="AX43" i="515"/>
  <c r="AG225" i="3"/>
  <c r="AG428" i="3"/>
  <c r="BL16" i="515"/>
  <c r="AG149" i="3"/>
  <c r="AX38" i="515"/>
  <c r="I45" i="515"/>
  <c r="AG438" i="3"/>
  <c r="AG276" i="3"/>
  <c r="AG268" i="3"/>
  <c r="BL49" i="515"/>
  <c r="BP49" i="515" s="1"/>
  <c r="BK49" i="515"/>
  <c r="BO49" i="515" s="1"/>
  <c r="AX14" i="515"/>
  <c r="AG159" i="3"/>
  <c r="AG359" i="3"/>
  <c r="BK27" i="515"/>
  <c r="BO27" i="515" s="1"/>
  <c r="AG111" i="3"/>
  <c r="AG377" i="3"/>
  <c r="AG307" i="3"/>
  <c r="AG197" i="3"/>
  <c r="AG432" i="3"/>
  <c r="BJ15" i="515"/>
  <c r="BN15" i="515" s="1"/>
  <c r="AX11" i="515"/>
  <c r="BL46" i="515"/>
  <c r="BP46" i="515" s="1"/>
  <c r="BK46" i="515"/>
  <c r="BO46" i="515" s="1"/>
  <c r="BL48" i="515"/>
  <c r="BP48" i="515" s="1"/>
  <c r="AG164" i="3"/>
  <c r="AG236" i="3"/>
  <c r="AG108" i="3"/>
  <c r="AG320" i="3"/>
  <c r="AG417" i="3"/>
  <c r="AG234" i="3"/>
  <c r="AG119" i="3"/>
  <c r="AG313" i="3"/>
  <c r="AG194" i="3"/>
  <c r="AG344" i="3"/>
  <c r="AG74" i="3"/>
  <c r="AG269" i="3"/>
  <c r="AG431" i="3"/>
  <c r="AG385" i="3"/>
  <c r="AG230" i="3"/>
  <c r="AG75" i="3"/>
  <c r="AG378" i="3"/>
  <c r="AG132" i="3"/>
  <c r="AG407" i="3"/>
  <c r="AG146" i="3"/>
  <c r="AG134" i="3"/>
  <c r="AG314" i="3"/>
  <c r="BJ31" i="515"/>
  <c r="BN31" i="515" s="1"/>
  <c r="AX47" i="515"/>
  <c r="AX34" i="515"/>
  <c r="BJ35" i="515"/>
  <c r="BN35" i="515" s="1"/>
  <c r="BK22" i="515"/>
  <c r="BO22" i="515" s="1"/>
  <c r="BJ38" i="515"/>
  <c r="BN38" i="515" s="1"/>
  <c r="BK42" i="515"/>
  <c r="BO42" i="515" s="1"/>
  <c r="BL42" i="515"/>
  <c r="BP42" i="515" s="1"/>
  <c r="AX12" i="515"/>
  <c r="BL39" i="515"/>
  <c r="BP39" i="515" s="1"/>
  <c r="AX21" i="515"/>
  <c r="AG334" i="3"/>
  <c r="I41" i="515"/>
  <c r="I13" i="515"/>
  <c r="W35" i="39124" l="1"/>
  <c r="AB47" i="515"/>
  <c r="AC47" i="515" s="1"/>
  <c r="AI47" i="515"/>
  <c r="AJ47" i="515"/>
  <c r="AB35" i="515"/>
  <c r="AC35" i="515" s="1"/>
  <c r="AI35" i="515"/>
  <c r="C23" i="39124"/>
  <c r="U15" i="515"/>
  <c r="X52" i="515"/>
  <c r="U48" i="515"/>
  <c r="V31" i="515"/>
  <c r="G47" i="515"/>
  <c r="W34" i="515"/>
  <c r="W19" i="515"/>
  <c r="U45" i="515"/>
  <c r="T14" i="515"/>
  <c r="X46" i="515"/>
  <c r="U46" i="515"/>
  <c r="W24" i="515"/>
  <c r="X17" i="515"/>
  <c r="U29" i="515"/>
  <c r="X18" i="515"/>
  <c r="U50" i="515"/>
  <c r="T8" i="515"/>
  <c r="U16" i="515"/>
  <c r="W10" i="515"/>
  <c r="X55" i="515"/>
  <c r="V43" i="515"/>
  <c r="V28" i="515"/>
  <c r="C29" i="39124"/>
  <c r="G28" i="515"/>
  <c r="W29" i="39124"/>
  <c r="V24" i="515"/>
  <c r="V48" i="515"/>
  <c r="T41" i="515"/>
  <c r="X30" i="515"/>
  <c r="V17" i="515"/>
  <c r="V38" i="515"/>
  <c r="V7" i="515"/>
  <c r="AB54" i="515"/>
  <c r="AC54" i="515" s="1"/>
  <c r="AJ54" i="515"/>
  <c r="W54" i="515"/>
  <c r="W15" i="515"/>
  <c r="T49" i="515"/>
  <c r="C24" i="39124"/>
  <c r="G23" i="515"/>
  <c r="W24" i="39124"/>
  <c r="T26" i="515"/>
  <c r="W33" i="515"/>
  <c r="W20" i="515"/>
  <c r="AB45" i="515"/>
  <c r="AC45" i="515" s="1"/>
  <c r="AI45" i="515"/>
  <c r="X19" i="515"/>
  <c r="V29" i="515"/>
  <c r="U38" i="515"/>
  <c r="T33" i="515"/>
  <c r="X54" i="515"/>
  <c r="U43" i="515"/>
  <c r="T52" i="515"/>
  <c r="U31" i="515"/>
  <c r="AB44" i="515"/>
  <c r="AC44" i="515" s="1"/>
  <c r="AI44" i="515"/>
  <c r="X11" i="515"/>
  <c r="V41" i="515"/>
  <c r="W39" i="515"/>
  <c r="AB19" i="515"/>
  <c r="AC19" i="515" s="1"/>
  <c r="AI19" i="515"/>
  <c r="V33" i="515"/>
  <c r="X27" i="515"/>
  <c r="X15" i="515"/>
  <c r="X50" i="515"/>
  <c r="V15" i="515"/>
  <c r="V39" i="515"/>
  <c r="U49" i="515"/>
  <c r="W26" i="515"/>
  <c r="W16" i="515"/>
  <c r="V13" i="515"/>
  <c r="T15" i="515"/>
  <c r="T16" i="515"/>
  <c r="V34" i="515"/>
  <c r="V44" i="515"/>
  <c r="W29" i="515"/>
  <c r="X28" i="515"/>
  <c r="T25" i="515"/>
  <c r="U47" i="515"/>
  <c r="V32" i="515"/>
  <c r="U33" i="515"/>
  <c r="W22" i="515"/>
  <c r="T7" i="515"/>
  <c r="T53" i="515"/>
  <c r="W21" i="515"/>
  <c r="W47" i="515"/>
  <c r="T30" i="515"/>
  <c r="T12" i="515"/>
  <c r="T38" i="515"/>
  <c r="X47" i="515"/>
  <c r="X13" i="515"/>
  <c r="X36" i="515"/>
  <c r="U11" i="515"/>
  <c r="X45" i="515"/>
  <c r="AB50" i="515"/>
  <c r="AC50" i="515" s="1"/>
  <c r="AJ50" i="515"/>
  <c r="C32" i="39124"/>
  <c r="G31" i="515"/>
  <c r="W32" i="39124"/>
  <c r="G22" i="515"/>
  <c r="X43" i="515"/>
  <c r="U26" i="515"/>
  <c r="U32" i="515"/>
  <c r="W27" i="515"/>
  <c r="AB37" i="515"/>
  <c r="AC37" i="515" s="1"/>
  <c r="AI37" i="515"/>
  <c r="N57" i="515"/>
  <c r="G7" i="515"/>
  <c r="W8" i="39124"/>
  <c r="C8" i="39124"/>
  <c r="G8" i="515"/>
  <c r="G10" i="515"/>
  <c r="G14" i="515"/>
  <c r="G24" i="515"/>
  <c r="G51" i="515"/>
  <c r="G34" i="515"/>
  <c r="C41" i="39124"/>
  <c r="W41" i="39124"/>
  <c r="G40" i="515"/>
  <c r="C13" i="39124"/>
  <c r="W13" i="39124"/>
  <c r="G12" i="515"/>
  <c r="X53" i="515"/>
  <c r="T18" i="515"/>
  <c r="V51" i="515"/>
  <c r="W18" i="515"/>
  <c r="AB33" i="515"/>
  <c r="AC33" i="515" s="1"/>
  <c r="AJ33" i="515"/>
  <c r="AB21" i="515"/>
  <c r="AC21" i="515" s="1"/>
  <c r="AI21" i="515"/>
  <c r="X9" i="515"/>
  <c r="T37" i="515"/>
  <c r="V53" i="515"/>
  <c r="W52" i="515"/>
  <c r="X42" i="515"/>
  <c r="T44" i="515"/>
  <c r="W42" i="515"/>
  <c r="V42" i="515"/>
  <c r="W30" i="39124"/>
  <c r="C30" i="39124"/>
  <c r="G29" i="515"/>
  <c r="C50" i="39124"/>
  <c r="G49" i="515"/>
  <c r="W50" i="39124"/>
  <c r="C46" i="39124"/>
  <c r="G45" i="515"/>
  <c r="W46" i="39124"/>
  <c r="W34" i="39124"/>
  <c r="C34" i="39124"/>
  <c r="G33" i="515"/>
  <c r="C22" i="39124"/>
  <c r="W22" i="39124"/>
  <c r="G21" i="515"/>
  <c r="AB16" i="515"/>
  <c r="AC16" i="515" s="1"/>
  <c r="AJ16" i="515"/>
  <c r="C55" i="39124"/>
  <c r="G54" i="515"/>
  <c r="W55" i="39124"/>
  <c r="C21" i="39124"/>
  <c r="W21" i="39124"/>
  <c r="G20" i="515"/>
  <c r="X40" i="515"/>
  <c r="X39" i="515"/>
  <c r="W7" i="515"/>
  <c r="W45" i="515"/>
  <c r="U42" i="515"/>
  <c r="T20" i="515"/>
  <c r="U37" i="515"/>
  <c r="U36" i="515"/>
  <c r="U39" i="515"/>
  <c r="T24" i="515"/>
  <c r="T45" i="515"/>
  <c r="T50" i="515"/>
  <c r="U54" i="515"/>
  <c r="T51" i="515"/>
  <c r="U24" i="515"/>
  <c r="W45" i="39124"/>
  <c r="G44" i="515"/>
  <c r="C45" i="39124"/>
  <c r="AB53" i="515"/>
  <c r="AC53" i="515" s="1"/>
  <c r="AI53" i="515"/>
  <c r="X7" i="515"/>
  <c r="X14" i="515"/>
  <c r="X25" i="515"/>
  <c r="T22" i="515"/>
  <c r="V49" i="515"/>
  <c r="T35" i="515"/>
  <c r="U53" i="515"/>
  <c r="W53" i="515"/>
  <c r="U55" i="515"/>
  <c r="T39" i="515"/>
  <c r="T28" i="515"/>
  <c r="V25" i="515"/>
  <c r="W23" i="515"/>
  <c r="V20" i="515"/>
  <c r="U44" i="515"/>
  <c r="T42" i="515"/>
  <c r="C36" i="39124"/>
  <c r="W36" i="39124"/>
  <c r="G35" i="515"/>
  <c r="C20" i="39124"/>
  <c r="G19" i="515"/>
  <c r="W20" i="39124"/>
  <c r="W51" i="39124"/>
  <c r="C51" i="39124"/>
  <c r="G50" i="515"/>
  <c r="X44" i="515"/>
  <c r="W49" i="39124"/>
  <c r="C49" i="39124"/>
  <c r="G48" i="515"/>
  <c r="AB26" i="515"/>
  <c r="AC26" i="515" s="1"/>
  <c r="AJ26" i="515"/>
  <c r="G37" i="515"/>
  <c r="C38" i="39124"/>
  <c r="W38" i="39124"/>
  <c r="AB56" i="515"/>
  <c r="AC56" i="515" s="1"/>
  <c r="U56" i="515"/>
  <c r="X56" i="515"/>
  <c r="V56" i="515"/>
  <c r="Y56" i="515"/>
  <c r="W56" i="515"/>
  <c r="T56" i="515"/>
  <c r="AJ56" i="515"/>
  <c r="AB46" i="515"/>
  <c r="AC46" i="515" s="1"/>
  <c r="AJ46" i="515"/>
  <c r="C18" i="39124"/>
  <c r="W18" i="39124"/>
  <c r="G17" i="515"/>
  <c r="C27" i="39124"/>
  <c r="G26" i="515"/>
  <c r="W27" i="39124"/>
  <c r="X10" i="515"/>
  <c r="X21" i="515"/>
  <c r="X32" i="515"/>
  <c r="U41" i="515"/>
  <c r="U30" i="515"/>
  <c r="U14" i="515"/>
  <c r="U9" i="515"/>
  <c r="V36" i="515"/>
  <c r="V11" i="515"/>
  <c r="W55" i="515"/>
  <c r="V23" i="515"/>
  <c r="W41" i="515"/>
  <c r="V47" i="515"/>
  <c r="T32" i="515"/>
  <c r="T31" i="515"/>
  <c r="AB41" i="515"/>
  <c r="AC41" i="515" s="1"/>
  <c r="AJ41" i="515"/>
  <c r="C12" i="39124"/>
  <c r="W12" i="39124"/>
  <c r="G11" i="515"/>
  <c r="W57" i="39124"/>
  <c r="G56" i="515"/>
  <c r="C57" i="39124"/>
  <c r="W47" i="39124"/>
  <c r="C47" i="39124"/>
  <c r="G46" i="515"/>
  <c r="AB25" i="515"/>
  <c r="AC25" i="515" s="1"/>
  <c r="AI25" i="515"/>
  <c r="X51" i="515"/>
  <c r="X12" i="515"/>
  <c r="X49" i="515"/>
  <c r="X34" i="515"/>
  <c r="W11" i="515"/>
  <c r="W12" i="515"/>
  <c r="V22" i="515"/>
  <c r="T17" i="515"/>
  <c r="U17" i="515"/>
  <c r="U18" i="515"/>
  <c r="W13" i="515"/>
  <c r="T21" i="515"/>
  <c r="V50" i="515"/>
  <c r="W25" i="515"/>
  <c r="U51" i="515"/>
  <c r="U27" i="515"/>
  <c r="AB13" i="515"/>
  <c r="AC13" i="515" s="1"/>
  <c r="AI13" i="515"/>
  <c r="AB15" i="515"/>
  <c r="AC15" i="515" s="1"/>
  <c r="AJ15" i="515"/>
  <c r="C53" i="39124"/>
  <c r="W53" i="39124"/>
  <c r="G52" i="515"/>
  <c r="W17" i="39124"/>
  <c r="G16" i="515"/>
  <c r="C17" i="39124"/>
  <c r="X8" i="515"/>
  <c r="X38" i="515"/>
  <c r="X16" i="515"/>
  <c r="U28" i="515"/>
  <c r="T19" i="515"/>
  <c r="T29" i="515"/>
  <c r="V10" i="515"/>
  <c r="U8" i="515"/>
  <c r="V9" i="515"/>
  <c r="W48" i="515"/>
  <c r="T10" i="515"/>
  <c r="W28" i="515"/>
  <c r="U34" i="515"/>
  <c r="U35" i="515"/>
  <c r="W51" i="515"/>
  <c r="W36" i="515"/>
  <c r="C54" i="39124"/>
  <c r="W54" i="39124"/>
  <c r="G53" i="515"/>
  <c r="X35" i="515"/>
  <c r="X37" i="515"/>
  <c r="X33" i="515"/>
  <c r="W30" i="515"/>
  <c r="W38" i="515"/>
  <c r="T43" i="515"/>
  <c r="T47" i="515"/>
  <c r="V14" i="515"/>
  <c r="V16" i="515"/>
  <c r="W50" i="515"/>
  <c r="T48" i="515"/>
  <c r="W44" i="515"/>
  <c r="U10" i="515"/>
  <c r="W43" i="515"/>
  <c r="V27" i="515"/>
  <c r="AB18" i="515"/>
  <c r="AC18" i="515" s="1"/>
  <c r="AJ18" i="515"/>
  <c r="AB36" i="515"/>
  <c r="AC36" i="515" s="1"/>
  <c r="AI36" i="515"/>
  <c r="AB32" i="515"/>
  <c r="AC32" i="515" s="1"/>
  <c r="AJ32" i="515"/>
  <c r="AB27" i="515"/>
  <c r="AC27" i="515" s="1"/>
  <c r="AI27" i="515"/>
  <c r="AB39" i="515"/>
  <c r="AC39" i="515" s="1"/>
  <c r="AI39" i="515"/>
  <c r="C56" i="39124"/>
  <c r="W56" i="39124"/>
  <c r="G55" i="515"/>
  <c r="AB31" i="515"/>
  <c r="AC31" i="515" s="1"/>
  <c r="AI31" i="515"/>
  <c r="V8" i="515"/>
  <c r="W31" i="515"/>
  <c r="T40" i="515"/>
  <c r="U19" i="515"/>
  <c r="V40" i="515"/>
  <c r="T9" i="515"/>
  <c r="U12" i="515"/>
  <c r="V26" i="515"/>
  <c r="W46" i="515"/>
  <c r="T36" i="515"/>
  <c r="W49" i="515"/>
  <c r="C42" i="39124"/>
  <c r="W42" i="39124"/>
  <c r="G41" i="515"/>
  <c r="W10" i="39124"/>
  <c r="C10" i="39124"/>
  <c r="G9" i="515"/>
  <c r="AB40" i="515"/>
  <c r="AC40" i="515" s="1"/>
  <c r="AJ40" i="515"/>
  <c r="AB12" i="515"/>
  <c r="AC12" i="515" s="1"/>
  <c r="AI12" i="515"/>
  <c r="C26" i="39124"/>
  <c r="G25" i="515"/>
  <c r="W26" i="39124"/>
  <c r="X26" i="515"/>
  <c r="X24" i="515"/>
  <c r="X48" i="515"/>
  <c r="W32" i="515"/>
  <c r="T13" i="515"/>
  <c r="W8" i="515"/>
  <c r="U13" i="515"/>
  <c r="V30" i="515"/>
  <c r="W9" i="515"/>
  <c r="W35" i="515"/>
  <c r="V18" i="515"/>
  <c r="W40" i="515"/>
  <c r="V19" i="515"/>
  <c r="T27" i="515"/>
  <c r="U20" i="515"/>
  <c r="W44" i="39124"/>
  <c r="C44" i="39124"/>
  <c r="G43" i="515"/>
  <c r="C14" i="39124"/>
  <c r="G13" i="515"/>
  <c r="W14" i="39124"/>
  <c r="W16" i="39124"/>
  <c r="G15" i="515"/>
  <c r="C16" i="39124"/>
  <c r="C39" i="39124"/>
  <c r="W39" i="39124"/>
  <c r="G38" i="515"/>
  <c r="C31" i="39124"/>
  <c r="W31" i="39124"/>
  <c r="G30" i="515"/>
  <c r="W43" i="39124"/>
  <c r="G42" i="515"/>
  <c r="C43" i="39124"/>
  <c r="X41" i="515"/>
  <c r="X20" i="515"/>
  <c r="X23" i="515"/>
  <c r="U52" i="515"/>
  <c r="V12" i="515"/>
  <c r="V54" i="515"/>
  <c r="V37" i="515"/>
  <c r="U21" i="515"/>
  <c r="V35" i="515"/>
  <c r="T55" i="515"/>
  <c r="V45" i="515"/>
  <c r="U22" i="515"/>
  <c r="U25" i="515"/>
  <c r="V21" i="515"/>
  <c r="U7" i="515"/>
  <c r="X31" i="515"/>
  <c r="X29" i="515"/>
  <c r="X22" i="515"/>
  <c r="V46" i="515"/>
  <c r="T34" i="515"/>
  <c r="T23" i="515"/>
  <c r="T54" i="515"/>
  <c r="W37" i="515"/>
  <c r="W14" i="515"/>
  <c r="U23" i="515"/>
  <c r="T46" i="515"/>
  <c r="U40" i="515"/>
  <c r="V52" i="515"/>
  <c r="W17" i="515"/>
  <c r="T11" i="515"/>
  <c r="C19" i="39124"/>
  <c r="W19" i="39124"/>
  <c r="G18" i="515"/>
  <c r="C37" i="39124"/>
  <c r="G36" i="515"/>
  <c r="W37" i="39124"/>
  <c r="G32" i="515"/>
  <c r="C33" i="39124"/>
  <c r="W33" i="39124"/>
  <c r="W28" i="39124"/>
  <c r="C28" i="39124"/>
  <c r="G27" i="515"/>
  <c r="C40" i="39124"/>
  <c r="G39" i="515"/>
  <c r="W40" i="39124"/>
  <c r="V55" i="515"/>
  <c r="AG442" i="3"/>
  <c r="BH45" i="515"/>
  <c r="AQ45" i="515" s="1"/>
  <c r="AH26" i="3"/>
  <c r="AH249" i="3"/>
  <c r="BI35" i="515" s="1"/>
  <c r="BM35" i="515" s="1"/>
  <c r="AH22" i="3"/>
  <c r="BI9" i="515" s="1"/>
  <c r="AH13" i="3"/>
  <c r="BI7" i="515" s="1"/>
  <c r="AH186" i="3"/>
  <c r="AH171" i="3"/>
  <c r="BI22" i="515" s="1"/>
  <c r="BM22" i="515" s="1"/>
  <c r="BH33" i="515"/>
  <c r="AQ33" i="515" s="1"/>
  <c r="AH231" i="3"/>
  <c r="BI30" i="515" s="1"/>
  <c r="BM30" i="515" s="1"/>
  <c r="AH91" i="3"/>
  <c r="BI13" i="515" s="1"/>
  <c r="BM13" i="515" s="1"/>
  <c r="AH153" i="3"/>
  <c r="AH247" i="3"/>
  <c r="BI34" i="515" s="1"/>
  <c r="AC15" i="39124"/>
  <c r="M15" i="39124" s="1"/>
  <c r="AH420" i="3"/>
  <c r="BI52" i="515" s="1"/>
  <c r="BH52" i="515" s="1"/>
  <c r="AQ52" i="515" s="1"/>
  <c r="AH167" i="3"/>
  <c r="AH294" i="3"/>
  <c r="BI38" i="515" s="1"/>
  <c r="BH38" i="515" s="1"/>
  <c r="AQ38" i="515" s="1"/>
  <c r="AH265" i="3"/>
  <c r="AH184" i="3"/>
  <c r="BH47" i="515"/>
  <c r="AQ47" i="515" s="1"/>
  <c r="AC54" i="39124"/>
  <c r="M54" i="39124" s="1"/>
  <c r="AC36" i="39124"/>
  <c r="M36" i="39124" s="1"/>
  <c r="AH326" i="3"/>
  <c r="BI41" i="515" s="1"/>
  <c r="BM41" i="515" s="1"/>
  <c r="AH219" i="3"/>
  <c r="AH429" i="3"/>
  <c r="BI53" i="515" s="1"/>
  <c r="BH53" i="515" s="1"/>
  <c r="AQ53" i="515" s="1"/>
  <c r="AH117" i="3"/>
  <c r="BI15" i="515" s="1"/>
  <c r="BM15" i="515" s="1"/>
  <c r="AH440" i="3"/>
  <c r="AH262" i="3"/>
  <c r="BI36" i="515" s="1"/>
  <c r="BM36" i="515" s="1"/>
  <c r="AH240" i="3"/>
  <c r="BI31" i="515" s="1"/>
  <c r="BM31" i="515" s="1"/>
  <c r="AC40" i="39124"/>
  <c r="M40" i="39124" s="1"/>
  <c r="K56" i="515"/>
  <c r="K36" i="515"/>
  <c r="G37" i="39124"/>
  <c r="AM37" i="39124"/>
  <c r="F3" i="868"/>
  <c r="K26" i="515"/>
  <c r="G27" i="39124"/>
  <c r="AM27" i="39124"/>
  <c r="AC12" i="39124"/>
  <c r="M12" i="39124" s="1"/>
  <c r="AC9" i="39124"/>
  <c r="M9" i="39124" s="1"/>
  <c r="AC11" i="39124"/>
  <c r="M11" i="39124" s="1"/>
  <c r="AC10" i="39124"/>
  <c r="M10" i="39124" s="1"/>
  <c r="AC8" i="39124"/>
  <c r="M8" i="39124" s="1"/>
  <c r="B17" i="39125"/>
  <c r="AW57" i="515"/>
  <c r="AV57" i="515"/>
  <c r="B23" i="39125"/>
  <c r="AP57" i="515"/>
  <c r="B24" i="39125"/>
  <c r="K30" i="515"/>
  <c r="G31" i="39124"/>
  <c r="AM31" i="39124"/>
  <c r="G28" i="39124"/>
  <c r="K27" i="515"/>
  <c r="AM28" i="39124"/>
  <c r="G14" i="39124"/>
  <c r="K13" i="515"/>
  <c r="AM14" i="39124"/>
  <c r="G44" i="39124"/>
  <c r="K43" i="515"/>
  <c r="AM44" i="39124"/>
  <c r="G40" i="39124"/>
  <c r="K39" i="515"/>
  <c r="AM40" i="39124"/>
  <c r="K17" i="515"/>
  <c r="G18" i="39124"/>
  <c r="AM18" i="39124"/>
  <c r="G30" i="39124"/>
  <c r="K29" i="515"/>
  <c r="AM30" i="39124"/>
  <c r="K46" i="515"/>
  <c r="G47" i="39124"/>
  <c r="AM47" i="39124"/>
  <c r="K28" i="515"/>
  <c r="G29" i="39124"/>
  <c r="AM29" i="39124"/>
  <c r="BP11" i="515"/>
  <c r="BL57" i="515"/>
  <c r="G21" i="39124"/>
  <c r="K20" i="515"/>
  <c r="AM21" i="39124"/>
  <c r="K14" i="515"/>
  <c r="G15" i="39124"/>
  <c r="AM15" i="39124"/>
  <c r="K40" i="515"/>
  <c r="G41" i="39124"/>
  <c r="AM41" i="39124"/>
  <c r="AH134" i="3"/>
  <c r="BI18" i="515" s="1"/>
  <c r="AC18" i="39124"/>
  <c r="M18" i="39124" s="1"/>
  <c r="AC28" i="39124"/>
  <c r="M28" i="39124" s="1"/>
  <c r="AH130" i="3"/>
  <c r="AH408" i="3"/>
  <c r="BI50" i="515" s="1"/>
  <c r="AC27" i="39124"/>
  <c r="M27" i="39124" s="1"/>
  <c r="AH162" i="3"/>
  <c r="BI20" i="515" s="1"/>
  <c r="AC52" i="39124"/>
  <c r="M52" i="39124" s="1"/>
  <c r="AC45" i="39124"/>
  <c r="M45" i="39124" s="1"/>
  <c r="K41" i="515"/>
  <c r="AC56" i="39124"/>
  <c r="M56" i="39124" s="1"/>
  <c r="AC29" i="39124"/>
  <c r="M29" i="39124" s="1"/>
  <c r="AC31" i="39124"/>
  <c r="M31" i="39124" s="1"/>
  <c r="AC42" i="39124"/>
  <c r="M42" i="39124" s="1"/>
  <c r="AC41" i="39124"/>
  <c r="M41" i="39124" s="1"/>
  <c r="AH331" i="3"/>
  <c r="BI42" i="515" s="1"/>
  <c r="AC23" i="39124"/>
  <c r="M23" i="39124" s="1"/>
  <c r="B26" i="39125"/>
  <c r="AC57" i="39124"/>
  <c r="M57" i="39124" s="1"/>
  <c r="AC16" i="39124"/>
  <c r="M16" i="39124" s="1"/>
  <c r="AH373" i="3"/>
  <c r="BI48" i="515" s="1"/>
  <c r="AC25" i="39124"/>
  <c r="M25" i="39124" s="1"/>
  <c r="AC17" i="39124"/>
  <c r="M17" i="39124" s="1"/>
  <c r="AC48" i="39124"/>
  <c r="M48" i="39124" s="1"/>
  <c r="AH194" i="3"/>
  <c r="BI26" i="515" s="1"/>
  <c r="AC24" i="39124"/>
  <c r="M24" i="39124" s="1"/>
  <c r="AC55" i="39124"/>
  <c r="M55" i="39124" s="1"/>
  <c r="AH336" i="3"/>
  <c r="BI43" i="515" s="1"/>
  <c r="AC37" i="39124"/>
  <c r="M37" i="39124" s="1"/>
  <c r="K42" i="515"/>
  <c r="G43" i="39124"/>
  <c r="AM43" i="39124"/>
  <c r="K12" i="515"/>
  <c r="G13" i="39124"/>
  <c r="AM13" i="39124"/>
  <c r="K23" i="515"/>
  <c r="G24" i="39124"/>
  <c r="AM24" i="39124"/>
  <c r="G34" i="39124"/>
  <c r="K33" i="515"/>
  <c r="AM34" i="39124"/>
  <c r="G56" i="39124"/>
  <c r="K55" i="515"/>
  <c r="AM56" i="39124"/>
  <c r="K34" i="515"/>
  <c r="G35" i="39124"/>
  <c r="AM35" i="39124"/>
  <c r="G48" i="39124"/>
  <c r="K47" i="515"/>
  <c r="AM48" i="39124"/>
  <c r="G17" i="39124"/>
  <c r="K16" i="515"/>
  <c r="AM17" i="39124"/>
  <c r="K48" i="515"/>
  <c r="G49" i="39124"/>
  <c r="AM49" i="39124"/>
  <c r="AH79" i="3"/>
  <c r="BN11" i="515"/>
  <c r="BJ57" i="515"/>
  <c r="K15" i="515"/>
  <c r="G16" i="39124"/>
  <c r="AM16" i="39124"/>
  <c r="K24" i="515"/>
  <c r="K8" i="515"/>
  <c r="K10" i="515"/>
  <c r="R57" i="515"/>
  <c r="K7" i="515"/>
  <c r="G12" i="39124"/>
  <c r="K9" i="515"/>
  <c r="K11" i="515"/>
  <c r="AM12" i="39124"/>
  <c r="K38" i="515"/>
  <c r="G39" i="39124"/>
  <c r="AM39" i="39124"/>
  <c r="K21" i="515"/>
  <c r="G22" i="39124"/>
  <c r="AM22" i="39124"/>
  <c r="K54" i="515"/>
  <c r="G55" i="39124"/>
  <c r="AM55" i="39124"/>
  <c r="G52" i="39124"/>
  <c r="K51" i="515"/>
  <c r="AM52" i="39124"/>
  <c r="F2" i="868"/>
  <c r="B5" i="868"/>
  <c r="C3" i="868" s="1"/>
  <c r="G19" i="39124"/>
  <c r="K18" i="515"/>
  <c r="AM19" i="39124"/>
  <c r="K44" i="515"/>
  <c r="G45" i="39124"/>
  <c r="AM45" i="39124"/>
  <c r="BK57" i="515"/>
  <c r="BO11" i="515"/>
  <c r="G51" i="39124"/>
  <c r="K50" i="515"/>
  <c r="AM51" i="39124"/>
  <c r="E3" i="868"/>
  <c r="E2" i="868"/>
  <c r="G32" i="39124"/>
  <c r="K31" i="515"/>
  <c r="AM32" i="39124"/>
  <c r="AC19" i="39124"/>
  <c r="M19" i="39124" s="1"/>
  <c r="K32" i="515"/>
  <c r="K35" i="515"/>
  <c r="AC20" i="39124"/>
  <c r="M20" i="39124" s="1"/>
  <c r="AC49" i="39124"/>
  <c r="M49" i="39124" s="1"/>
  <c r="AH132" i="3"/>
  <c r="BI17" i="515" s="1"/>
  <c r="B25" i="39125"/>
  <c r="AC38" i="39124"/>
  <c r="M38" i="39124" s="1"/>
  <c r="AH405" i="3"/>
  <c r="BI49" i="515" s="1"/>
  <c r="K53" i="515"/>
  <c r="AC35" i="39124"/>
  <c r="M35" i="39124" s="1"/>
  <c r="AH227" i="3"/>
  <c r="BI29" i="515" s="1"/>
  <c r="AH432" i="3"/>
  <c r="BI54" i="515" s="1"/>
  <c r="AC44" i="39124"/>
  <c r="M44" i="39124" s="1"/>
  <c r="K45" i="515"/>
  <c r="AC22" i="39124"/>
  <c r="M22" i="39124" s="1"/>
  <c r="AC26" i="39124"/>
  <c r="M26" i="39124" s="1"/>
  <c r="AC14" i="39124"/>
  <c r="M14" i="39124" s="1"/>
  <c r="AC33" i="39124"/>
  <c r="M33" i="39124" s="1"/>
  <c r="AC34" i="39124"/>
  <c r="M34" i="39124" s="1"/>
  <c r="AC46" i="39124"/>
  <c r="M46" i="39124" s="1"/>
  <c r="AH307" i="3"/>
  <c r="BI39" i="515" s="1"/>
  <c r="AC43" i="39124"/>
  <c r="M43" i="39124" s="1"/>
  <c r="K49" i="515"/>
  <c r="K19" i="515"/>
  <c r="K37" i="515"/>
  <c r="K52" i="515"/>
  <c r="AC53" i="39124"/>
  <c r="M53" i="39124" s="1"/>
  <c r="AC32" i="39124"/>
  <c r="M32" i="39124" s="1"/>
  <c r="AC47" i="39124"/>
  <c r="M47" i="39124" s="1"/>
  <c r="AH363" i="3"/>
  <c r="BI46" i="515" s="1"/>
  <c r="AH204" i="3"/>
  <c r="AC50" i="39124"/>
  <c r="M50" i="39124" s="1"/>
  <c r="AC13" i="39124"/>
  <c r="M13" i="39124" s="1"/>
  <c r="AH86" i="3"/>
  <c r="BI12" i="515" s="1"/>
  <c r="AC51" i="39124"/>
  <c r="M51" i="39124" s="1"/>
  <c r="K25" i="515"/>
  <c r="AC21" i="39124"/>
  <c r="M21" i="39124" s="1"/>
  <c r="AH177" i="3"/>
  <c r="BI23" i="515" s="1"/>
  <c r="AC30" i="39124"/>
  <c r="M30" i="39124" s="1"/>
  <c r="BH40" i="515"/>
  <c r="AQ40" i="515" s="1"/>
  <c r="AH355" i="3"/>
  <c r="BI44" i="515" s="1"/>
  <c r="K22" i="515"/>
  <c r="AC39" i="39124"/>
  <c r="M39" i="39124" s="1"/>
  <c r="S15" i="515" l="1"/>
  <c r="BC15" i="515" s="1"/>
  <c r="S10" i="515"/>
  <c r="BF10" i="515" s="1"/>
  <c r="S34" i="515"/>
  <c r="Z34" i="515" s="1"/>
  <c r="S42" i="515"/>
  <c r="BF42" i="515" s="1"/>
  <c r="S47" i="515"/>
  <c r="BB47" i="515" s="1"/>
  <c r="U33" i="39124"/>
  <c r="K33" i="39124" s="1"/>
  <c r="U23" i="39124"/>
  <c r="K23" i="39124" s="1"/>
  <c r="U52" i="39124"/>
  <c r="K52" i="39124" s="1"/>
  <c r="S8" i="515"/>
  <c r="BG8" i="515" s="1"/>
  <c r="S14" i="515"/>
  <c r="BE14" i="515" s="1"/>
  <c r="S22" i="515"/>
  <c r="BG22" i="515" s="1"/>
  <c r="S52" i="515"/>
  <c r="Z52" i="515" s="1"/>
  <c r="S41" i="515"/>
  <c r="BF41" i="515" s="1"/>
  <c r="S28" i="515"/>
  <c r="BC28" i="515" s="1"/>
  <c r="B11" i="39125"/>
  <c r="U57" i="515"/>
  <c r="S11" i="515"/>
  <c r="S55" i="515"/>
  <c r="O55" i="515" s="1"/>
  <c r="B15" i="39125"/>
  <c r="Y57" i="515"/>
  <c r="U45" i="39124"/>
  <c r="K45" i="39124" s="1"/>
  <c r="S50" i="515"/>
  <c r="O50" i="515" s="1"/>
  <c r="U15" i="39124"/>
  <c r="K15" i="39124" s="1"/>
  <c r="C58" i="39124"/>
  <c r="W58" i="39124"/>
  <c r="U32" i="39124"/>
  <c r="K32" i="39124" s="1"/>
  <c r="S30" i="515"/>
  <c r="T57" i="515"/>
  <c r="B10" i="39125"/>
  <c r="U53" i="39124"/>
  <c r="K53" i="39124" s="1"/>
  <c r="S32" i="515"/>
  <c r="S12" i="515"/>
  <c r="O12" i="515" s="1"/>
  <c r="S54" i="515"/>
  <c r="O54" i="515" s="1"/>
  <c r="U43" i="39124"/>
  <c r="K43" i="39124" s="1"/>
  <c r="U10" i="39124"/>
  <c r="K10" i="39124" s="1"/>
  <c r="U56" i="39124"/>
  <c r="K56" i="39124" s="1"/>
  <c r="S48" i="515"/>
  <c r="O48" i="515" s="1"/>
  <c r="U54" i="39124"/>
  <c r="K54" i="39124" s="1"/>
  <c r="S29" i="515"/>
  <c r="U17" i="39124"/>
  <c r="K17" i="39124" s="1"/>
  <c r="U40" i="39124"/>
  <c r="K40" i="39124" s="1"/>
  <c r="S23" i="515"/>
  <c r="U39" i="39124"/>
  <c r="K39" i="39124" s="1"/>
  <c r="U16" i="39124"/>
  <c r="K16" i="39124" s="1"/>
  <c r="S27" i="515"/>
  <c r="S36" i="515"/>
  <c r="S9" i="515"/>
  <c r="O9" i="515" s="1"/>
  <c r="S43" i="515"/>
  <c r="S19" i="515"/>
  <c r="U48" i="39124"/>
  <c r="K48" i="39124" s="1"/>
  <c r="AJ57" i="515"/>
  <c r="S21" i="515"/>
  <c r="S17" i="515"/>
  <c r="U47" i="39124"/>
  <c r="K47" i="39124" s="1"/>
  <c r="U27" i="39124"/>
  <c r="K27" i="39124" s="1"/>
  <c r="U18" i="39124"/>
  <c r="K18" i="39124" s="1"/>
  <c r="U38" i="39124"/>
  <c r="K38" i="39124" s="1"/>
  <c r="U20" i="39124"/>
  <c r="K20" i="39124" s="1"/>
  <c r="U36" i="39124"/>
  <c r="K36" i="39124" s="1"/>
  <c r="S39" i="515"/>
  <c r="S35" i="515"/>
  <c r="U25" i="39124"/>
  <c r="K25" i="39124" s="1"/>
  <c r="S45" i="515"/>
  <c r="U21" i="39124"/>
  <c r="K21" i="39124" s="1"/>
  <c r="U41" i="39124"/>
  <c r="K41" i="39124" s="1"/>
  <c r="S25" i="515"/>
  <c r="U44" i="39124"/>
  <c r="K44" i="39124" s="1"/>
  <c r="U26" i="39124"/>
  <c r="K26" i="39124" s="1"/>
  <c r="U55" i="39124"/>
  <c r="K55" i="39124" s="1"/>
  <c r="U46" i="39124"/>
  <c r="K46" i="39124" s="1"/>
  <c r="U30" i="39124"/>
  <c r="K30" i="39124" s="1"/>
  <c r="S18" i="515"/>
  <c r="S53" i="515"/>
  <c r="U24" i="39124"/>
  <c r="K24" i="39124" s="1"/>
  <c r="B12" i="39125"/>
  <c r="V57" i="515"/>
  <c r="S46" i="515"/>
  <c r="O46" i="515" s="1"/>
  <c r="S40" i="515"/>
  <c r="O40" i="515" s="1"/>
  <c r="U57" i="39124"/>
  <c r="K57" i="39124" s="1"/>
  <c r="U49" i="39124"/>
  <c r="K49" i="39124" s="1"/>
  <c r="U51" i="39124"/>
  <c r="K51" i="39124" s="1"/>
  <c r="BI55" i="515"/>
  <c r="BM55" i="515" s="1"/>
  <c r="BI56" i="515"/>
  <c r="U28" i="39124"/>
  <c r="K28" i="39124" s="1"/>
  <c r="U37" i="39124"/>
  <c r="K37" i="39124" s="1"/>
  <c r="U19" i="39124"/>
  <c r="K19" i="39124" s="1"/>
  <c r="U31" i="39124"/>
  <c r="K31" i="39124" s="1"/>
  <c r="U14" i="39124"/>
  <c r="K14" i="39124" s="1"/>
  <c r="S13" i="515"/>
  <c r="O13" i="515" s="1"/>
  <c r="AI57" i="515"/>
  <c r="U42" i="39124"/>
  <c r="K42" i="39124" s="1"/>
  <c r="U35" i="39124"/>
  <c r="K35" i="39124" s="1"/>
  <c r="U12" i="39124"/>
  <c r="K12" i="39124" s="1"/>
  <c r="S31" i="515"/>
  <c r="S56" i="515"/>
  <c r="B14" i="39125"/>
  <c r="X57" i="515"/>
  <c r="S51" i="515"/>
  <c r="S24" i="515"/>
  <c r="O24" i="515" s="1"/>
  <c r="S20" i="515"/>
  <c r="O20" i="515" s="1"/>
  <c r="U22" i="39124"/>
  <c r="K22" i="39124" s="1"/>
  <c r="U34" i="39124"/>
  <c r="K34" i="39124" s="1"/>
  <c r="U50" i="39124"/>
  <c r="K50" i="39124" s="1"/>
  <c r="S44" i="515"/>
  <c r="S37" i="515"/>
  <c r="U13" i="39124"/>
  <c r="K13" i="39124" s="1"/>
  <c r="U8" i="39124"/>
  <c r="K8" i="39124" s="1"/>
  <c r="U9" i="39124"/>
  <c r="K9" i="39124" s="1"/>
  <c r="U11" i="39124"/>
  <c r="K11" i="39124" s="1"/>
  <c r="S38" i="515"/>
  <c r="O38" i="515" s="1"/>
  <c r="S16" i="515"/>
  <c r="O16" i="515" s="1"/>
  <c r="S33" i="515"/>
  <c r="O33" i="515" s="1"/>
  <c r="S26" i="515"/>
  <c r="O26" i="515" s="1"/>
  <c r="S49" i="515"/>
  <c r="U29" i="39124"/>
  <c r="K29" i="39124" s="1"/>
  <c r="BH13" i="515"/>
  <c r="AQ13" i="515" s="1"/>
  <c r="BI24" i="515"/>
  <c r="BM24" i="515" s="1"/>
  <c r="AH442" i="3"/>
  <c r="BH35" i="515"/>
  <c r="AQ35" i="515" s="1"/>
  <c r="BH7" i="515"/>
  <c r="AQ7" i="515" s="1"/>
  <c r="BM7" i="515"/>
  <c r="BM9" i="515"/>
  <c r="BH9" i="515"/>
  <c r="AQ9" i="515" s="1"/>
  <c r="BI51" i="515"/>
  <c r="BI21" i="515"/>
  <c r="BM21" i="515" s="1"/>
  <c r="BI28" i="515"/>
  <c r="BM28" i="515" s="1"/>
  <c r="BI25" i="515"/>
  <c r="BI16" i="515"/>
  <c r="BM16" i="515" s="1"/>
  <c r="BI8" i="515"/>
  <c r="BH30" i="515"/>
  <c r="AQ30" i="515" s="1"/>
  <c r="BI37" i="515"/>
  <c r="BM37" i="515" s="1"/>
  <c r="BI27" i="515"/>
  <c r="BH27" i="515" s="1"/>
  <c r="AQ27" i="515" s="1"/>
  <c r="BI10" i="515"/>
  <c r="BI19" i="515"/>
  <c r="BM19" i="515" s="1"/>
  <c r="BH22" i="515"/>
  <c r="AQ22" i="515" s="1"/>
  <c r="C9" i="868"/>
  <c r="E9" i="868" s="1"/>
  <c r="BM52" i="515"/>
  <c r="BM38" i="515"/>
  <c r="BM34" i="515"/>
  <c r="BH34" i="515"/>
  <c r="AQ34" i="515" s="1"/>
  <c r="BH31" i="515"/>
  <c r="AQ31" i="515" s="1"/>
  <c r="BM53" i="515"/>
  <c r="BH36" i="515"/>
  <c r="AQ36" i="515" s="1"/>
  <c r="BH15" i="515"/>
  <c r="AQ15" i="515" s="1"/>
  <c r="BH41" i="515"/>
  <c r="AQ41" i="515" s="1"/>
  <c r="AK50" i="39124"/>
  <c r="O50" i="39124" s="1"/>
  <c r="AK42" i="39124"/>
  <c r="O42" i="39124" s="1"/>
  <c r="AK53" i="39124"/>
  <c r="O53" i="39124" s="1"/>
  <c r="AK33" i="39124"/>
  <c r="O33" i="39124" s="1"/>
  <c r="AK51" i="39124"/>
  <c r="O51" i="39124" s="1"/>
  <c r="AK20" i="39124"/>
  <c r="O20" i="39124" s="1"/>
  <c r="C10" i="868"/>
  <c r="E10" i="868" s="1"/>
  <c r="C2" i="868"/>
  <c r="BM54" i="515"/>
  <c r="BH54" i="515"/>
  <c r="AQ54" i="515" s="1"/>
  <c r="B38" i="39125"/>
  <c r="BO57" i="515"/>
  <c r="AK25" i="39124"/>
  <c r="O25" i="39124" s="1"/>
  <c r="AK9" i="39124"/>
  <c r="O9" i="39124" s="1"/>
  <c r="AK11" i="39124"/>
  <c r="O11" i="39124" s="1"/>
  <c r="AK10" i="39124"/>
  <c r="O10" i="39124" s="1"/>
  <c r="AK12" i="39124"/>
  <c r="O12" i="39124" s="1"/>
  <c r="AK8" i="39124"/>
  <c r="O8" i="39124" s="1"/>
  <c r="BN57" i="515"/>
  <c r="B37" i="39125"/>
  <c r="BM26" i="515"/>
  <c r="BH26" i="515"/>
  <c r="AQ26" i="515" s="1"/>
  <c r="BM42" i="515"/>
  <c r="BH42" i="515"/>
  <c r="AQ42" i="515" s="1"/>
  <c r="BM50" i="515"/>
  <c r="BH50" i="515"/>
  <c r="AQ50" i="515" s="1"/>
  <c r="BM18" i="515"/>
  <c r="BH18" i="515"/>
  <c r="AQ18" i="515" s="1"/>
  <c r="BP57" i="515"/>
  <c r="B39" i="39125"/>
  <c r="AK19" i="39124"/>
  <c r="O19" i="39124" s="1"/>
  <c r="AK52" i="39124"/>
  <c r="O52" i="39124" s="1"/>
  <c r="AK22" i="39124"/>
  <c r="O22" i="39124" s="1"/>
  <c r="AK49" i="39124"/>
  <c r="O49" i="39124" s="1"/>
  <c r="AK48" i="39124"/>
  <c r="O48" i="39124" s="1"/>
  <c r="AK56" i="39124"/>
  <c r="O56" i="39124" s="1"/>
  <c r="AK24" i="39124"/>
  <c r="O24" i="39124" s="1"/>
  <c r="AK43" i="39124"/>
  <c r="O43" i="39124" s="1"/>
  <c r="C11" i="868"/>
  <c r="E11" i="868" s="1"/>
  <c r="AK38" i="39124"/>
  <c r="O38" i="39124" s="1"/>
  <c r="AK46" i="39124"/>
  <c r="O46" i="39124" s="1"/>
  <c r="AK15" i="39124"/>
  <c r="O15" i="39124" s="1"/>
  <c r="AK29" i="39124"/>
  <c r="O29" i="39124" s="1"/>
  <c r="AK30" i="39124"/>
  <c r="O30" i="39124" s="1"/>
  <c r="AK40" i="39124"/>
  <c r="O40" i="39124" s="1"/>
  <c r="AK14" i="39124"/>
  <c r="O14" i="39124" s="1"/>
  <c r="AK31" i="39124"/>
  <c r="O31" i="39124" s="1"/>
  <c r="AK27" i="39124"/>
  <c r="O27" i="39124" s="1"/>
  <c r="BM23" i="515"/>
  <c r="BH23" i="515"/>
  <c r="AQ23" i="515" s="1"/>
  <c r="BM44" i="515"/>
  <c r="BH44" i="515"/>
  <c r="AQ44" i="515" s="1"/>
  <c r="BM12" i="515"/>
  <c r="BH12" i="515"/>
  <c r="AQ12" i="515" s="1"/>
  <c r="BM46" i="515"/>
  <c r="BH46" i="515"/>
  <c r="AQ46" i="515" s="1"/>
  <c r="BM39" i="515"/>
  <c r="BH39" i="515"/>
  <c r="AQ39" i="515" s="1"/>
  <c r="BM29" i="515"/>
  <c r="BH29" i="515"/>
  <c r="AQ29" i="515" s="1"/>
  <c r="BM49" i="515"/>
  <c r="BH49" i="515"/>
  <c r="AQ49" i="515" s="1"/>
  <c r="BM17" i="515"/>
  <c r="BH17" i="515"/>
  <c r="AQ17" i="515" s="1"/>
  <c r="B8" i="39125"/>
  <c r="G58" i="39124"/>
  <c r="AM58" i="39124"/>
  <c r="BI11" i="515"/>
  <c r="BM43" i="515"/>
  <c r="BH43" i="515"/>
  <c r="AQ43" i="515" s="1"/>
  <c r="BM48" i="515"/>
  <c r="BH48" i="515"/>
  <c r="AQ48" i="515" s="1"/>
  <c r="BM20" i="515"/>
  <c r="BH20" i="515"/>
  <c r="AQ20" i="515" s="1"/>
  <c r="AK32" i="39124"/>
  <c r="O32" i="39124" s="1"/>
  <c r="AK45" i="39124"/>
  <c r="O45" i="39124" s="1"/>
  <c r="AK55" i="39124"/>
  <c r="O55" i="39124" s="1"/>
  <c r="AK39" i="39124"/>
  <c r="O39" i="39124" s="1"/>
  <c r="AK16" i="39124"/>
  <c r="O16" i="39124" s="1"/>
  <c r="AK17" i="39124"/>
  <c r="O17" i="39124" s="1"/>
  <c r="AK35" i="39124"/>
  <c r="O35" i="39124" s="1"/>
  <c r="AK34" i="39124"/>
  <c r="O34" i="39124" s="1"/>
  <c r="AK13" i="39124"/>
  <c r="O13" i="39124" s="1"/>
  <c r="AK23" i="39124"/>
  <c r="O23" i="39124" s="1"/>
  <c r="AK26" i="39124"/>
  <c r="O26" i="39124" s="1"/>
  <c r="AK57" i="39124"/>
  <c r="O57" i="39124" s="1"/>
  <c r="AK54" i="39124"/>
  <c r="O54" i="39124" s="1"/>
  <c r="AK36" i="39124"/>
  <c r="O36" i="39124" s="1"/>
  <c r="AK41" i="39124"/>
  <c r="O41" i="39124" s="1"/>
  <c r="AK21" i="39124"/>
  <c r="O21" i="39124" s="1"/>
  <c r="AK47" i="39124"/>
  <c r="O47" i="39124" s="1"/>
  <c r="AK18" i="39124"/>
  <c r="O18" i="39124" s="1"/>
  <c r="AK44" i="39124"/>
  <c r="O44" i="39124" s="1"/>
  <c r="AK28" i="39124"/>
  <c r="O28" i="39124" s="1"/>
  <c r="AK37" i="39124"/>
  <c r="O37" i="39124" s="1"/>
  <c r="BB15" i="515" l="1"/>
  <c r="BF52" i="515"/>
  <c r="O14" i="515"/>
  <c r="AA15" i="39124" s="1"/>
  <c r="BD15" i="515"/>
  <c r="BE15" i="515"/>
  <c r="BG15" i="515"/>
  <c r="BC47" i="515"/>
  <c r="BF15" i="515"/>
  <c r="O15" i="515"/>
  <c r="AA16" i="39124" s="1"/>
  <c r="Z10" i="515"/>
  <c r="Z15" i="515"/>
  <c r="O10" i="515"/>
  <c r="AA11" i="39124" s="1"/>
  <c r="BC8" i="515"/>
  <c r="BE10" i="515"/>
  <c r="Q10" i="515" s="1"/>
  <c r="O28" i="515"/>
  <c r="AA29" i="39124" s="1"/>
  <c r="BD10" i="515"/>
  <c r="BB42" i="515"/>
  <c r="BG52" i="515"/>
  <c r="Z42" i="515"/>
  <c r="BC42" i="515"/>
  <c r="BE52" i="515"/>
  <c r="BG42" i="515"/>
  <c r="Z22" i="515"/>
  <c r="O34" i="515"/>
  <c r="AA35" i="39124" s="1"/>
  <c r="BG28" i="515"/>
  <c r="BG10" i="515"/>
  <c r="BB10" i="515"/>
  <c r="BF28" i="515"/>
  <c r="BC10" i="515"/>
  <c r="BB14" i="515"/>
  <c r="BB34" i="515"/>
  <c r="BE41" i="515"/>
  <c r="Q41" i="515" s="1"/>
  <c r="F42" i="39124" s="1"/>
  <c r="Z14" i="515"/>
  <c r="BH24" i="515"/>
  <c r="AQ24" i="515" s="1"/>
  <c r="BG41" i="515"/>
  <c r="BE8" i="515"/>
  <c r="BH55" i="515"/>
  <c r="AQ55" i="515" s="1"/>
  <c r="BF47" i="515"/>
  <c r="Z47" i="515"/>
  <c r="BB52" i="515"/>
  <c r="BD52" i="515"/>
  <c r="O42" i="515"/>
  <c r="AA43" i="39124" s="1"/>
  <c r="O52" i="515"/>
  <c r="D53" i="39124" s="1"/>
  <c r="BD41" i="515"/>
  <c r="Z41" i="515"/>
  <c r="BD42" i="515"/>
  <c r="BF8" i="515"/>
  <c r="Z8" i="515"/>
  <c r="BD47" i="515"/>
  <c r="O41" i="515"/>
  <c r="AA42" i="39124" s="1"/>
  <c r="BE47" i="515"/>
  <c r="O47" i="515"/>
  <c r="AA48" i="39124" s="1"/>
  <c r="BC52" i="515"/>
  <c r="BC41" i="515"/>
  <c r="BE42" i="515"/>
  <c r="Q42" i="515" s="1"/>
  <c r="BD8" i="515"/>
  <c r="BF34" i="515"/>
  <c r="BG34" i="515"/>
  <c r="BC34" i="515"/>
  <c r="BD34" i="515"/>
  <c r="Z28" i="515"/>
  <c r="BD14" i="515"/>
  <c r="BE34" i="515"/>
  <c r="BB28" i="515"/>
  <c r="BG47" i="515"/>
  <c r="BD22" i="515"/>
  <c r="O8" i="515"/>
  <c r="D9" i="39124" s="1"/>
  <c r="BB41" i="515"/>
  <c r="BG14" i="515"/>
  <c r="BB8" i="515"/>
  <c r="BC22" i="515"/>
  <c r="O22" i="515"/>
  <c r="D23" i="39124" s="1"/>
  <c r="BE28" i="515"/>
  <c r="BD28" i="515"/>
  <c r="BB22" i="515"/>
  <c r="BF22" i="515"/>
  <c r="BF14" i="515"/>
  <c r="Q14" i="515" s="1"/>
  <c r="BE22" i="515"/>
  <c r="BC14" i="515"/>
  <c r="D17" i="39124"/>
  <c r="AA17" i="39124"/>
  <c r="D56" i="39124"/>
  <c r="AA56" i="39124"/>
  <c r="D21" i="39124"/>
  <c r="AA21" i="39124"/>
  <c r="AA49" i="39124"/>
  <c r="D49" i="39124"/>
  <c r="AA39" i="39124"/>
  <c r="D39" i="39124"/>
  <c r="Z21" i="515"/>
  <c r="BD21" i="515"/>
  <c r="BB21" i="515"/>
  <c r="BF21" i="515"/>
  <c r="BC21" i="515"/>
  <c r="BE21" i="515"/>
  <c r="BG21" i="515"/>
  <c r="Z43" i="515"/>
  <c r="BB43" i="515"/>
  <c r="BF43" i="515"/>
  <c r="BD43" i="515"/>
  <c r="BC43" i="515"/>
  <c r="BG43" i="515"/>
  <c r="BE43" i="515"/>
  <c r="Z36" i="515"/>
  <c r="BB36" i="515"/>
  <c r="BE36" i="515"/>
  <c r="BF36" i="515"/>
  <c r="BG36" i="515"/>
  <c r="BC36" i="515"/>
  <c r="BD36" i="515"/>
  <c r="N4" i="39126"/>
  <c r="Z33" i="515"/>
  <c r="BB33" i="515"/>
  <c r="BC33" i="515"/>
  <c r="BG33" i="515"/>
  <c r="BD33" i="515"/>
  <c r="BE33" i="515"/>
  <c r="BF33" i="515"/>
  <c r="Z38" i="515"/>
  <c r="BC38" i="515"/>
  <c r="BB38" i="515"/>
  <c r="BD38" i="515"/>
  <c r="BG38" i="515"/>
  <c r="BE38" i="515"/>
  <c r="BF38" i="515"/>
  <c r="O51" i="515"/>
  <c r="Z51" i="515"/>
  <c r="BE51" i="515"/>
  <c r="BD51" i="515"/>
  <c r="BC51" i="515"/>
  <c r="BB51" i="515"/>
  <c r="BG51" i="515"/>
  <c r="BF51" i="515"/>
  <c r="O31" i="515"/>
  <c r="Z31" i="515"/>
  <c r="BG31" i="515"/>
  <c r="BF31" i="515"/>
  <c r="BD31" i="515"/>
  <c r="BC31" i="515"/>
  <c r="BB31" i="515"/>
  <c r="BE31" i="515"/>
  <c r="O36" i="515"/>
  <c r="O39" i="515"/>
  <c r="Z39" i="515"/>
  <c r="BB39" i="515"/>
  <c r="BC39" i="515"/>
  <c r="BF39" i="515"/>
  <c r="BG39" i="515"/>
  <c r="BE39" i="515"/>
  <c r="BD39" i="515"/>
  <c r="Z17" i="515"/>
  <c r="BE17" i="515"/>
  <c r="BG17" i="515"/>
  <c r="BD17" i="515"/>
  <c r="BB17" i="515"/>
  <c r="BC17" i="515"/>
  <c r="BF17" i="515"/>
  <c r="O19" i="515"/>
  <c r="Z19" i="515"/>
  <c r="BE19" i="515"/>
  <c r="BB19" i="515"/>
  <c r="BF19" i="515"/>
  <c r="BG19" i="515"/>
  <c r="BD19" i="515"/>
  <c r="BC19" i="515"/>
  <c r="Z9" i="515"/>
  <c r="BC9" i="515"/>
  <c r="BE9" i="515"/>
  <c r="BG9" i="515"/>
  <c r="BF9" i="515"/>
  <c r="BB9" i="515"/>
  <c r="BD9" i="515"/>
  <c r="O27" i="515"/>
  <c r="Z27" i="515"/>
  <c r="BC27" i="515"/>
  <c r="BD27" i="515"/>
  <c r="BB27" i="515"/>
  <c r="BG27" i="515"/>
  <c r="BE27" i="515"/>
  <c r="BF27" i="515"/>
  <c r="O17" i="515"/>
  <c r="Z32" i="515"/>
  <c r="BF32" i="515"/>
  <c r="BG32" i="515"/>
  <c r="BD32" i="515"/>
  <c r="BB32" i="515"/>
  <c r="BC32" i="515"/>
  <c r="BE32" i="515"/>
  <c r="O32" i="515"/>
  <c r="Z37" i="515"/>
  <c r="BE37" i="515"/>
  <c r="BD37" i="515"/>
  <c r="BC37" i="515"/>
  <c r="BB37" i="515"/>
  <c r="BF37" i="515"/>
  <c r="BG37" i="515"/>
  <c r="Z25" i="515"/>
  <c r="BB25" i="515"/>
  <c r="BE25" i="515"/>
  <c r="BF25" i="515"/>
  <c r="BC25" i="515"/>
  <c r="BD25" i="515"/>
  <c r="BG25" i="515"/>
  <c r="Z45" i="515"/>
  <c r="BB45" i="515"/>
  <c r="BC45" i="515"/>
  <c r="BD45" i="515"/>
  <c r="BG45" i="515"/>
  <c r="BF45" i="515"/>
  <c r="BE45" i="515"/>
  <c r="D13" i="39124"/>
  <c r="AA13" i="39124"/>
  <c r="D25" i="39124"/>
  <c r="AA25" i="39124"/>
  <c r="O49" i="515"/>
  <c r="Z49" i="515"/>
  <c r="BD49" i="515"/>
  <c r="BG49" i="515"/>
  <c r="BC49" i="515"/>
  <c r="BE49" i="515"/>
  <c r="BB49" i="515"/>
  <c r="BF49" i="515"/>
  <c r="Z16" i="515"/>
  <c r="BC16" i="515"/>
  <c r="BB16" i="515"/>
  <c r="BG16" i="515"/>
  <c r="BD16" i="515"/>
  <c r="BE16" i="515"/>
  <c r="BF16" i="515"/>
  <c r="O44" i="515"/>
  <c r="Z44" i="515"/>
  <c r="BC44" i="515"/>
  <c r="BG44" i="515"/>
  <c r="BF44" i="515"/>
  <c r="BD44" i="515"/>
  <c r="BB44" i="515"/>
  <c r="BE44" i="515"/>
  <c r="Z20" i="515"/>
  <c r="BC20" i="515"/>
  <c r="BE20" i="515"/>
  <c r="BF20" i="515"/>
  <c r="BG20" i="515"/>
  <c r="BB20" i="515"/>
  <c r="BD20" i="515"/>
  <c r="D14" i="39124"/>
  <c r="AA14" i="39124"/>
  <c r="Z13" i="515"/>
  <c r="BD13" i="515"/>
  <c r="BB13" i="515"/>
  <c r="BC13" i="515"/>
  <c r="BE13" i="515"/>
  <c r="BF13" i="515"/>
  <c r="BG13" i="515"/>
  <c r="Z40" i="515"/>
  <c r="BE40" i="515"/>
  <c r="BF40" i="515"/>
  <c r="BG40" i="515"/>
  <c r="BB40" i="515"/>
  <c r="BD40" i="515"/>
  <c r="BC40" i="515"/>
  <c r="Z53" i="515"/>
  <c r="BF53" i="515"/>
  <c r="BE53" i="515"/>
  <c r="BG53" i="515"/>
  <c r="BB53" i="515"/>
  <c r="BC53" i="515"/>
  <c r="BD53" i="515"/>
  <c r="AA51" i="39124"/>
  <c r="D51" i="39124"/>
  <c r="Z48" i="515"/>
  <c r="BB48" i="515"/>
  <c r="BE48" i="515"/>
  <c r="BD48" i="515"/>
  <c r="BG48" i="515"/>
  <c r="BC48" i="515"/>
  <c r="BF48" i="515"/>
  <c r="Z54" i="515"/>
  <c r="BB54" i="515"/>
  <c r="BE54" i="515"/>
  <c r="BG54" i="515"/>
  <c r="BF54" i="515"/>
  <c r="BD54" i="515"/>
  <c r="BC54" i="515"/>
  <c r="O25" i="515"/>
  <c r="O37" i="515"/>
  <c r="Z50" i="515"/>
  <c r="BE50" i="515"/>
  <c r="BF50" i="515"/>
  <c r="BC50" i="515"/>
  <c r="BD50" i="515"/>
  <c r="BB50" i="515"/>
  <c r="BG50" i="515"/>
  <c r="Z55" i="515"/>
  <c r="BD55" i="515"/>
  <c r="BB55" i="515"/>
  <c r="BC55" i="515"/>
  <c r="BE55" i="515"/>
  <c r="BF55" i="515"/>
  <c r="BG55" i="515"/>
  <c r="D27" i="39124"/>
  <c r="AA27" i="39124"/>
  <c r="AA41" i="39124"/>
  <c r="D41" i="39124"/>
  <c r="O45" i="515"/>
  <c r="Z26" i="515"/>
  <c r="BF26" i="515"/>
  <c r="BD26" i="515"/>
  <c r="BC26" i="515"/>
  <c r="BB26" i="515"/>
  <c r="BE26" i="515"/>
  <c r="BG26" i="515"/>
  <c r="O21" i="515"/>
  <c r="Z24" i="515"/>
  <c r="BF24" i="515"/>
  <c r="BD24" i="515"/>
  <c r="BE24" i="515"/>
  <c r="BG24" i="515"/>
  <c r="BC24" i="515"/>
  <c r="BB24" i="515"/>
  <c r="Z56" i="515"/>
  <c r="BC56" i="515"/>
  <c r="BB56" i="515"/>
  <c r="BD56" i="515"/>
  <c r="BF56" i="515"/>
  <c r="BG56" i="515"/>
  <c r="BE56" i="515"/>
  <c r="AA47" i="39124"/>
  <c r="D47" i="39124"/>
  <c r="AA10" i="39124"/>
  <c r="D10" i="39124"/>
  <c r="Z46" i="515"/>
  <c r="BC46" i="515"/>
  <c r="BD46" i="515"/>
  <c r="BE46" i="515"/>
  <c r="BG46" i="515"/>
  <c r="BF46" i="515"/>
  <c r="BB46" i="515"/>
  <c r="O18" i="515"/>
  <c r="Z18" i="515"/>
  <c r="BC18" i="515"/>
  <c r="BE18" i="515"/>
  <c r="BF18" i="515"/>
  <c r="BG18" i="515"/>
  <c r="BD18" i="515"/>
  <c r="BB18" i="515"/>
  <c r="O56" i="515"/>
  <c r="AA34" i="39124"/>
  <c r="D34" i="39124"/>
  <c r="Z35" i="515"/>
  <c r="BC35" i="515"/>
  <c r="BG35" i="515"/>
  <c r="BD35" i="515"/>
  <c r="BB35" i="515"/>
  <c r="BE35" i="515"/>
  <c r="BF35" i="515"/>
  <c r="O43" i="515"/>
  <c r="O35" i="515"/>
  <c r="O23" i="515"/>
  <c r="Z23" i="515"/>
  <c r="BC23" i="515"/>
  <c r="BD23" i="515"/>
  <c r="BG23" i="515"/>
  <c r="BB23" i="515"/>
  <c r="BF23" i="515"/>
  <c r="BE23" i="515"/>
  <c r="O29" i="515"/>
  <c r="Z29" i="515"/>
  <c r="BE29" i="515"/>
  <c r="BF29" i="515"/>
  <c r="BB29" i="515"/>
  <c r="BD29" i="515"/>
  <c r="BC29" i="515"/>
  <c r="BG29" i="515"/>
  <c r="Z12" i="515"/>
  <c r="BC12" i="515"/>
  <c r="BB12" i="515"/>
  <c r="BF12" i="515"/>
  <c r="BD12" i="515"/>
  <c r="BE12" i="515"/>
  <c r="BG12" i="515"/>
  <c r="AA55" i="39124"/>
  <c r="D55" i="39124"/>
  <c r="O30" i="515"/>
  <c r="Z30" i="515"/>
  <c r="BC30" i="515"/>
  <c r="BE30" i="515"/>
  <c r="BD30" i="515"/>
  <c r="BB30" i="515"/>
  <c r="BF30" i="515"/>
  <c r="BG30" i="515"/>
  <c r="O11" i="515"/>
  <c r="Z11" i="515"/>
  <c r="BB11" i="515"/>
  <c r="BG11" i="515"/>
  <c r="BD11" i="515"/>
  <c r="BC11" i="515"/>
  <c r="BE11" i="515"/>
  <c r="BF11" i="515"/>
  <c r="O53" i="515"/>
  <c r="BH16" i="515"/>
  <c r="AQ16" i="515" s="1"/>
  <c r="BH37" i="515"/>
  <c r="AQ37" i="515" s="1"/>
  <c r="BH19" i="515"/>
  <c r="AQ19" i="515" s="1"/>
  <c r="BM56" i="515"/>
  <c r="BH56" i="515"/>
  <c r="AQ56" i="515" s="1"/>
  <c r="BM51" i="515"/>
  <c r="BH51" i="515"/>
  <c r="AQ51" i="515" s="1"/>
  <c r="BH21" i="515"/>
  <c r="AQ21" i="515" s="1"/>
  <c r="BH28" i="515"/>
  <c r="AQ28" i="515" s="1"/>
  <c r="BH25" i="515"/>
  <c r="AQ25" i="515" s="1"/>
  <c r="BM25" i="515"/>
  <c r="BH8" i="515"/>
  <c r="AQ8" i="515" s="1"/>
  <c r="BM8" i="515"/>
  <c r="BM27" i="515"/>
  <c r="BM10" i="515"/>
  <c r="BH10" i="515"/>
  <c r="AQ10" i="515" s="1"/>
  <c r="E12" i="868"/>
  <c r="B13" i="39125"/>
  <c r="N5" i="39126" s="1"/>
  <c r="S7" i="515"/>
  <c r="B9" i="39125" s="1"/>
  <c r="W57" i="515"/>
  <c r="AB57" i="515"/>
  <c r="BI57" i="515"/>
  <c r="BM11" i="515"/>
  <c r="BH11" i="515"/>
  <c r="Q37" i="515" l="1"/>
  <c r="AI38" i="39124" s="1"/>
  <c r="D15" i="39124"/>
  <c r="Q52" i="515"/>
  <c r="M52" i="515" s="1"/>
  <c r="D16" i="39124"/>
  <c r="Q15" i="515"/>
  <c r="F16" i="39124" s="1"/>
  <c r="Q48" i="515"/>
  <c r="M48" i="515" s="1"/>
  <c r="M10" i="515"/>
  <c r="D29" i="39124"/>
  <c r="D11" i="39124"/>
  <c r="D43" i="39124"/>
  <c r="D42" i="39124"/>
  <c r="D35" i="39124"/>
  <c r="AA53" i="39124"/>
  <c r="Q28" i="515"/>
  <c r="M28" i="515" s="1"/>
  <c r="AA23" i="39124"/>
  <c r="Q47" i="515"/>
  <c r="M47" i="515" s="1"/>
  <c r="Q22" i="515"/>
  <c r="M22" i="515" s="1"/>
  <c r="D48" i="39124"/>
  <c r="Q8" i="515"/>
  <c r="M8" i="515" s="1"/>
  <c r="Q34" i="515"/>
  <c r="M34" i="515" s="1"/>
  <c r="AA9" i="39124"/>
  <c r="Q55" i="515"/>
  <c r="M55" i="515" s="1"/>
  <c r="Q13" i="515"/>
  <c r="AI14" i="39124" s="1"/>
  <c r="Q17" i="515"/>
  <c r="F18" i="39124" s="1"/>
  <c r="F11" i="39124"/>
  <c r="AI11" i="39124"/>
  <c r="Q50" i="515"/>
  <c r="M50" i="515" s="1"/>
  <c r="Q25" i="515"/>
  <c r="F26" i="39124" s="1"/>
  <c r="Q12" i="515"/>
  <c r="M12" i="515" s="1"/>
  <c r="Q29" i="515"/>
  <c r="F30" i="39124" s="1"/>
  <c r="Q33" i="515"/>
  <c r="M33" i="515" s="1"/>
  <c r="Q36" i="515"/>
  <c r="Q11" i="515"/>
  <c r="F12" i="39124" s="1"/>
  <c r="Q18" i="515"/>
  <c r="AI19" i="39124" s="1"/>
  <c r="Q35" i="515"/>
  <c r="AI36" i="39124" s="1"/>
  <c r="Q46" i="515"/>
  <c r="M46" i="515" s="1"/>
  <c r="Q24" i="515"/>
  <c r="M24" i="515" s="1"/>
  <c r="Q20" i="515"/>
  <c r="F21" i="39124" s="1"/>
  <c r="Q16" i="515"/>
  <c r="AI17" i="39124" s="1"/>
  <c r="Q9" i="515"/>
  <c r="M9" i="515" s="1"/>
  <c r="Q19" i="515"/>
  <c r="AI20" i="39124" s="1"/>
  <c r="Q53" i="515"/>
  <c r="M53" i="515" s="1"/>
  <c r="Q44" i="515"/>
  <c r="F45" i="39124" s="1"/>
  <c r="Q49" i="515"/>
  <c r="F50" i="39124" s="1"/>
  <c r="Q32" i="515"/>
  <c r="M32" i="515" s="1"/>
  <c r="Q39" i="515"/>
  <c r="AI40" i="39124" s="1"/>
  <c r="Q21" i="515"/>
  <c r="F22" i="39124" s="1"/>
  <c r="AI42" i="39124"/>
  <c r="M41" i="515"/>
  <c r="Q26" i="515"/>
  <c r="AA54" i="39124"/>
  <c r="D54" i="39124"/>
  <c r="Q30" i="515"/>
  <c r="M30" i="515" s="1"/>
  <c r="D36" i="39124"/>
  <c r="AA36" i="39124"/>
  <c r="Q23" i="515"/>
  <c r="AA44" i="39124"/>
  <c r="D44" i="39124"/>
  <c r="AA19" i="39124"/>
  <c r="D19" i="39124"/>
  <c r="Q56" i="515"/>
  <c r="D22" i="39124"/>
  <c r="AA22" i="39124"/>
  <c r="AI15" i="39124"/>
  <c r="F15" i="39124"/>
  <c r="AA33" i="39124"/>
  <c r="D33" i="39124"/>
  <c r="D18" i="39124"/>
  <c r="AA18" i="39124"/>
  <c r="AA28" i="39124"/>
  <c r="D28" i="39124"/>
  <c r="AA37" i="39124"/>
  <c r="D37" i="39124"/>
  <c r="D32" i="39124"/>
  <c r="AA32" i="39124"/>
  <c r="AA52" i="39124"/>
  <c r="D52" i="39124"/>
  <c r="Q43" i="515"/>
  <c r="D31" i="39124"/>
  <c r="AA31" i="39124"/>
  <c r="D46" i="39124"/>
  <c r="AA46" i="39124"/>
  <c r="AA38" i="39124"/>
  <c r="D38" i="39124"/>
  <c r="M37" i="515"/>
  <c r="Q54" i="515"/>
  <c r="Q40" i="515"/>
  <c r="D50" i="39124"/>
  <c r="AA50" i="39124"/>
  <c r="Q45" i="515"/>
  <c r="Q27" i="515"/>
  <c r="Q31" i="515"/>
  <c r="Q51" i="515"/>
  <c r="Q38" i="515"/>
  <c r="M14" i="515"/>
  <c r="D30" i="39124"/>
  <c r="AA30" i="39124"/>
  <c r="D26" i="39124"/>
  <c r="AA26" i="39124"/>
  <c r="D45" i="39124"/>
  <c r="AA45" i="39124"/>
  <c r="AA40" i="39124"/>
  <c r="D40" i="39124"/>
  <c r="D12" i="39124"/>
  <c r="AA12" i="39124"/>
  <c r="AI43" i="39124"/>
  <c r="M42" i="515"/>
  <c r="F43" i="39124"/>
  <c r="D20" i="39124"/>
  <c r="AA20" i="39124"/>
  <c r="AA24" i="39124"/>
  <c r="D24" i="39124"/>
  <c r="AA57" i="39124"/>
  <c r="D57" i="39124"/>
  <c r="BH57" i="515"/>
  <c r="AQ57" i="515" s="1"/>
  <c r="AQ11" i="515"/>
  <c r="BF7" i="515"/>
  <c r="O7" i="515"/>
  <c r="H10" i="515" s="1"/>
  <c r="BG7" i="515"/>
  <c r="BB7" i="515"/>
  <c r="BC7" i="515"/>
  <c r="BE7" i="515"/>
  <c r="BD7" i="515"/>
  <c r="AC7" i="515"/>
  <c r="S57" i="515"/>
  <c r="Z57" i="515" s="1"/>
  <c r="Z7" i="515"/>
  <c r="AF57" i="515"/>
  <c r="AD57" i="515"/>
  <c r="AC57" i="515" s="1"/>
  <c r="BM57" i="515"/>
  <c r="B36" i="39125"/>
  <c r="F37" i="39124" l="1"/>
  <c r="AI37" i="39124"/>
  <c r="F38" i="39124"/>
  <c r="AI16" i="39124"/>
  <c r="F51" i="39124"/>
  <c r="M15" i="515"/>
  <c r="F53" i="39124"/>
  <c r="AI53" i="39124"/>
  <c r="F49" i="39124"/>
  <c r="AI49" i="39124"/>
  <c r="M25" i="515"/>
  <c r="AI34" i="39124"/>
  <c r="M17" i="515"/>
  <c r="F20" i="39124"/>
  <c r="F29" i="39124"/>
  <c r="F33" i="39124"/>
  <c r="F10" i="39124"/>
  <c r="AI47" i="39124"/>
  <c r="AI29" i="39124"/>
  <c r="AI56" i="39124"/>
  <c r="AI23" i="39124"/>
  <c r="F23" i="39124"/>
  <c r="AI18" i="39124"/>
  <c r="F14" i="39124"/>
  <c r="F19" i="39124"/>
  <c r="AI48" i="39124"/>
  <c r="F48" i="39124"/>
  <c r="F35" i="39124"/>
  <c r="M16" i="515"/>
  <c r="M39" i="515"/>
  <c r="M13" i="515"/>
  <c r="AI35" i="39124"/>
  <c r="AI22" i="39124"/>
  <c r="F9" i="39124"/>
  <c r="AI9" i="39124"/>
  <c r="M21" i="515"/>
  <c r="F40" i="39124"/>
  <c r="AI45" i="39124"/>
  <c r="F13" i="39124"/>
  <c r="F56" i="39124"/>
  <c r="AI13" i="39124"/>
  <c r="M20" i="515"/>
  <c r="AI21" i="39124"/>
  <c r="AI26" i="39124"/>
  <c r="M36" i="515"/>
  <c r="M11" i="515"/>
  <c r="AI12" i="39124"/>
  <c r="F54" i="39124"/>
  <c r="F47" i="39124"/>
  <c r="AI51" i="39124"/>
  <c r="F34" i="39124"/>
  <c r="F36" i="39124"/>
  <c r="AI50" i="39124"/>
  <c r="M44" i="515"/>
  <c r="M29" i="515"/>
  <c r="AI30" i="39124"/>
  <c r="AI54" i="39124"/>
  <c r="M35" i="515"/>
  <c r="F17" i="39124"/>
  <c r="M49" i="515"/>
  <c r="M18" i="515"/>
  <c r="AI25" i="39124"/>
  <c r="AI10" i="39124"/>
  <c r="AI33" i="39124"/>
  <c r="F25" i="39124"/>
  <c r="M19" i="515"/>
  <c r="M54" i="515"/>
  <c r="F55" i="39124"/>
  <c r="AI55" i="39124"/>
  <c r="F28" i="39124"/>
  <c r="AI28" i="39124"/>
  <c r="M27" i="515"/>
  <c r="F57" i="39124"/>
  <c r="AI57" i="39124"/>
  <c r="M23" i="515"/>
  <c r="F24" i="39124"/>
  <c r="AI24" i="39124"/>
  <c r="AI39" i="39124"/>
  <c r="F39" i="39124"/>
  <c r="M38" i="515"/>
  <c r="AI31" i="39124"/>
  <c r="F31" i="39124"/>
  <c r="M26" i="515"/>
  <c r="AI27" i="39124"/>
  <c r="F27" i="39124"/>
  <c r="M56" i="515"/>
  <c r="M51" i="515"/>
  <c r="F52" i="39124"/>
  <c r="AI52" i="39124"/>
  <c r="M40" i="515"/>
  <c r="F41" i="39124"/>
  <c r="AI41" i="39124"/>
  <c r="M31" i="515"/>
  <c r="F32" i="39124"/>
  <c r="AI32" i="39124"/>
  <c r="M45" i="515"/>
  <c r="AI46" i="39124"/>
  <c r="F46" i="39124"/>
  <c r="M43" i="515"/>
  <c r="AI44" i="39124"/>
  <c r="F44" i="39124"/>
  <c r="B18" i="39125"/>
  <c r="P57" i="515"/>
  <c r="AE58" i="39124" s="1"/>
  <c r="H56" i="515"/>
  <c r="H21" i="515"/>
  <c r="H49" i="515"/>
  <c r="O57" i="515"/>
  <c r="AA58" i="39124" s="1"/>
  <c r="H55" i="515"/>
  <c r="H26" i="515"/>
  <c r="H14" i="515"/>
  <c r="H16" i="515"/>
  <c r="H28" i="515"/>
  <c r="H47" i="515"/>
  <c r="H30" i="515"/>
  <c r="H12" i="515"/>
  <c r="H9" i="515"/>
  <c r="H53" i="515"/>
  <c r="H45" i="515"/>
  <c r="H17" i="515"/>
  <c r="H44" i="515"/>
  <c r="H52" i="515"/>
  <c r="H40" i="515"/>
  <c r="H50" i="515"/>
  <c r="H54" i="515"/>
  <c r="H27" i="515"/>
  <c r="H24" i="515"/>
  <c r="H37" i="515"/>
  <c r="H31" i="515"/>
  <c r="H36" i="515"/>
  <c r="B30" i="39125"/>
  <c r="B32" i="39125"/>
  <c r="BE57" i="515"/>
  <c r="H51" i="515"/>
  <c r="AA8" i="39124"/>
  <c r="Y27" i="39124" s="1"/>
  <c r="L27" i="39124" s="1"/>
  <c r="H43" i="515"/>
  <c r="H38" i="515"/>
  <c r="H11" i="515"/>
  <c r="H15" i="515"/>
  <c r="H33" i="515"/>
  <c r="H18" i="515"/>
  <c r="H32" i="515"/>
  <c r="H8" i="515"/>
  <c r="H48" i="515"/>
  <c r="H34" i="515"/>
  <c r="H42" i="515"/>
  <c r="H20" i="515"/>
  <c r="H46" i="515"/>
  <c r="H23" i="515"/>
  <c r="H41" i="515"/>
  <c r="H22" i="515"/>
  <c r="H29" i="515"/>
  <c r="H13" i="515"/>
  <c r="H39" i="515"/>
  <c r="H7" i="515"/>
  <c r="H35" i="515"/>
  <c r="H19" i="515"/>
  <c r="H25" i="515"/>
  <c r="Y44" i="39124"/>
  <c r="L44" i="39124" s="1"/>
  <c r="BB57" i="515"/>
  <c r="B33" i="39125"/>
  <c r="BD57" i="515"/>
  <c r="B16" i="39125"/>
  <c r="Q7" i="515"/>
  <c r="J7" i="515" s="1"/>
  <c r="BC57" i="515"/>
  <c r="B34" i="39125"/>
  <c r="BG57" i="515"/>
  <c r="B31" i="39125"/>
  <c r="BF57" i="515"/>
  <c r="B35" i="39125"/>
  <c r="E58" i="39124" l="1"/>
  <c r="Y36" i="39124"/>
  <c r="L36" i="39124" s="1"/>
  <c r="B5" i="39125"/>
  <c r="D58" i="39124"/>
  <c r="Y53" i="39124"/>
  <c r="L53" i="39124" s="1"/>
  <c r="Y56" i="39124"/>
  <c r="L56" i="39124" s="1"/>
  <c r="Y49" i="39124"/>
  <c r="L49" i="39124" s="1"/>
  <c r="Q57" i="515"/>
  <c r="B7" i="39125" s="1"/>
  <c r="J18" i="515"/>
  <c r="L18" i="515" s="1"/>
  <c r="S19" i="39124" s="1"/>
  <c r="J44" i="515"/>
  <c r="L44" i="515" s="1"/>
  <c r="S45" i="39124" s="1"/>
  <c r="J22" i="515"/>
  <c r="L22" i="515" s="1"/>
  <c r="S23" i="39124" s="1"/>
  <c r="J27" i="515"/>
  <c r="L27" i="515" s="1"/>
  <c r="S28" i="39124" s="1"/>
  <c r="J40" i="515"/>
  <c r="L40" i="515" s="1"/>
  <c r="S41" i="39124" s="1"/>
  <c r="J55" i="515"/>
  <c r="L55" i="515" s="1"/>
  <c r="S56" i="39124" s="1"/>
  <c r="B6" i="39125"/>
  <c r="J26" i="515"/>
  <c r="L26" i="515" s="1"/>
  <c r="S27" i="39124" s="1"/>
  <c r="J13" i="515"/>
  <c r="L13" i="515" s="1"/>
  <c r="J15" i="515"/>
  <c r="L15" i="515" s="1"/>
  <c r="S16" i="39124" s="1"/>
  <c r="J43" i="515"/>
  <c r="L43" i="515" s="1"/>
  <c r="S44" i="39124" s="1"/>
  <c r="J48" i="515"/>
  <c r="L48" i="515" s="1"/>
  <c r="S49" i="39124" s="1"/>
  <c r="J19" i="515"/>
  <c r="L19" i="515" s="1"/>
  <c r="S20" i="39124" s="1"/>
  <c r="AI8" i="39124"/>
  <c r="AG8" i="39124" s="1"/>
  <c r="N8" i="39124" s="1"/>
  <c r="Y26" i="39124"/>
  <c r="L26" i="39124" s="1"/>
  <c r="Y30" i="39124"/>
  <c r="L30" i="39124" s="1"/>
  <c r="Y43" i="39124"/>
  <c r="L43" i="39124" s="1"/>
  <c r="Y21" i="39124"/>
  <c r="L21" i="39124" s="1"/>
  <c r="Y57" i="39124"/>
  <c r="L57" i="39124" s="1"/>
  <c r="Y19" i="39124"/>
  <c r="L19" i="39124" s="1"/>
  <c r="M7" i="515"/>
  <c r="M57" i="515" s="1"/>
  <c r="J20" i="515"/>
  <c r="L20" i="515" s="1"/>
  <c r="S21" i="39124" s="1"/>
  <c r="J24" i="515"/>
  <c r="L24" i="515" s="1"/>
  <c r="S25" i="39124" s="1"/>
  <c r="J17" i="515"/>
  <c r="L17" i="515" s="1"/>
  <c r="S18" i="39124" s="1"/>
  <c r="J21" i="515"/>
  <c r="L21" i="515" s="1"/>
  <c r="S22" i="39124" s="1"/>
  <c r="J23" i="515"/>
  <c r="L23" i="515" s="1"/>
  <c r="S24" i="39124" s="1"/>
  <c r="J32" i="515"/>
  <c r="L32" i="515" s="1"/>
  <c r="S33" i="39124" s="1"/>
  <c r="J31" i="515"/>
  <c r="L31" i="515" s="1"/>
  <c r="S32" i="39124" s="1"/>
  <c r="J54" i="515"/>
  <c r="L54" i="515" s="1"/>
  <c r="S55" i="39124" s="1"/>
  <c r="J47" i="515"/>
  <c r="L47" i="515" s="1"/>
  <c r="S48" i="39124" s="1"/>
  <c r="J25" i="515"/>
  <c r="L25" i="515" s="1"/>
  <c r="S26" i="39124" s="1"/>
  <c r="J52" i="515"/>
  <c r="L52" i="515" s="1"/>
  <c r="S53" i="39124" s="1"/>
  <c r="J53" i="515"/>
  <c r="L53" i="515" s="1"/>
  <c r="S54" i="39124" s="1"/>
  <c r="Y10" i="39124"/>
  <c r="L10" i="39124" s="1"/>
  <c r="Y46" i="39124"/>
  <c r="L46" i="39124" s="1"/>
  <c r="Y17" i="39124"/>
  <c r="L17" i="39124" s="1"/>
  <c r="Y40" i="39124"/>
  <c r="L40" i="39124" s="1"/>
  <c r="Y39" i="39124"/>
  <c r="L39" i="39124" s="1"/>
  <c r="Y48" i="39124"/>
  <c r="L48" i="39124" s="1"/>
  <c r="Y28" i="39124"/>
  <c r="L28" i="39124" s="1"/>
  <c r="Y25" i="39124"/>
  <c r="L25" i="39124" s="1"/>
  <c r="Y47" i="39124"/>
  <c r="L47" i="39124" s="1"/>
  <c r="Y42" i="39124"/>
  <c r="L42" i="39124" s="1"/>
  <c r="Y24" i="39124"/>
  <c r="L24" i="39124" s="1"/>
  <c r="D8" i="39124"/>
  <c r="Y45" i="39124"/>
  <c r="L45" i="39124" s="1"/>
  <c r="Y9" i="39124"/>
  <c r="L9" i="39124" s="1"/>
  <c r="Y32" i="39124"/>
  <c r="L32" i="39124" s="1"/>
  <c r="Y11" i="39124"/>
  <c r="L11" i="39124" s="1"/>
  <c r="Y33" i="39124"/>
  <c r="L33" i="39124" s="1"/>
  <c r="Y38" i="39124"/>
  <c r="L38" i="39124" s="1"/>
  <c r="Y50" i="39124"/>
  <c r="L50" i="39124" s="1"/>
  <c r="Y23" i="39124"/>
  <c r="L23" i="39124" s="1"/>
  <c r="Y22" i="39124"/>
  <c r="L22" i="39124" s="1"/>
  <c r="Y8" i="39124"/>
  <c r="L8" i="39124" s="1"/>
  <c r="Y13" i="39124"/>
  <c r="L13" i="39124" s="1"/>
  <c r="Y54" i="39124"/>
  <c r="L54" i="39124" s="1"/>
  <c r="Y34" i="39124"/>
  <c r="L34" i="39124" s="1"/>
  <c r="Y18" i="39124"/>
  <c r="L18" i="39124" s="1"/>
  <c r="Y51" i="39124"/>
  <c r="L51" i="39124" s="1"/>
  <c r="Y29" i="39124"/>
  <c r="L29" i="39124" s="1"/>
  <c r="Y14" i="39124"/>
  <c r="L14" i="39124" s="1"/>
  <c r="Y20" i="39124"/>
  <c r="L20" i="39124" s="1"/>
  <c r="Y35" i="39124"/>
  <c r="L35" i="39124" s="1"/>
  <c r="Y12" i="39124"/>
  <c r="L12" i="39124" s="1"/>
  <c r="Y15" i="39124"/>
  <c r="L15" i="39124" s="1"/>
  <c r="Y41" i="39124"/>
  <c r="L41" i="39124" s="1"/>
  <c r="Y37" i="39124"/>
  <c r="L37" i="39124" s="1"/>
  <c r="Y16" i="39124"/>
  <c r="L16" i="39124" s="1"/>
  <c r="L7" i="515"/>
  <c r="S8" i="39124" s="1"/>
  <c r="Y31" i="39124"/>
  <c r="L31" i="39124" s="1"/>
  <c r="Y52" i="39124"/>
  <c r="L52" i="39124" s="1"/>
  <c r="Y55" i="39124"/>
  <c r="L55" i="39124" s="1"/>
  <c r="J36" i="515"/>
  <c r="L36" i="515" s="1"/>
  <c r="S37" i="39124" s="1"/>
  <c r="J29" i="515"/>
  <c r="L29" i="515" s="1"/>
  <c r="S30" i="39124" s="1"/>
  <c r="J30" i="515"/>
  <c r="L30" i="515" s="1"/>
  <c r="S31" i="39124" s="1"/>
  <c r="J46" i="515"/>
  <c r="L46" i="515" s="1"/>
  <c r="S47" i="39124" s="1"/>
  <c r="J9" i="515"/>
  <c r="L9" i="515" s="1"/>
  <c r="S10" i="39124" s="1"/>
  <c r="J14" i="515"/>
  <c r="L14" i="515" s="1"/>
  <c r="S15" i="39124" s="1"/>
  <c r="J8" i="515"/>
  <c r="L8" i="515" s="1"/>
  <c r="S9" i="39124" s="1"/>
  <c r="J10" i="515"/>
  <c r="L10" i="515" s="1"/>
  <c r="S11" i="39124" s="1"/>
  <c r="J11" i="515"/>
  <c r="L11" i="515" s="1"/>
  <c r="S12" i="39124" s="1"/>
  <c r="J33" i="515"/>
  <c r="L33" i="515" s="1"/>
  <c r="S34" i="39124" s="1"/>
  <c r="J42" i="515"/>
  <c r="L42" i="515" s="1"/>
  <c r="S43" i="39124" s="1"/>
  <c r="J28" i="515"/>
  <c r="L28" i="515" s="1"/>
  <c r="S29" i="39124" s="1"/>
  <c r="J39" i="515"/>
  <c r="L39" i="515" s="1"/>
  <c r="S40" i="39124" s="1"/>
  <c r="J49" i="515"/>
  <c r="L49" i="515" s="1"/>
  <c r="S50" i="39124" s="1"/>
  <c r="J50" i="515"/>
  <c r="L50" i="515" s="1"/>
  <c r="S51" i="39124" s="1"/>
  <c r="J51" i="515"/>
  <c r="L51" i="515" s="1"/>
  <c r="S52" i="39124" s="1"/>
  <c r="J38" i="515"/>
  <c r="L38" i="515" s="1"/>
  <c r="S39" i="39124" s="1"/>
  <c r="J16" i="515"/>
  <c r="L16" i="515" s="1"/>
  <c r="S17" i="39124" s="1"/>
  <c r="J34" i="515"/>
  <c r="L34" i="515" s="1"/>
  <c r="S35" i="39124" s="1"/>
  <c r="J12" i="515"/>
  <c r="L12" i="515" s="1"/>
  <c r="S13" i="39124" s="1"/>
  <c r="J45" i="515"/>
  <c r="L45" i="515" s="1"/>
  <c r="S46" i="39124" s="1"/>
  <c r="J37" i="515"/>
  <c r="L37" i="515" s="1"/>
  <c r="S38" i="39124" s="1"/>
  <c r="J56" i="515"/>
  <c r="L56" i="515" s="1"/>
  <c r="S57" i="39124" s="1"/>
  <c r="J35" i="515"/>
  <c r="L35" i="515" s="1"/>
  <c r="S36" i="39124" s="1"/>
  <c r="J41" i="515"/>
  <c r="L41" i="515" s="1"/>
  <c r="F58" i="39124" l="1"/>
  <c r="F8" i="39124"/>
  <c r="F12" i="515"/>
  <c r="AG15" i="39124"/>
  <c r="N15" i="39124" s="1"/>
  <c r="AG14" i="39124"/>
  <c r="N14" i="39124" s="1"/>
  <c r="AG12" i="39124"/>
  <c r="N12" i="39124" s="1"/>
  <c r="AG48" i="39124"/>
  <c r="N48" i="39124" s="1"/>
  <c r="AG19" i="39124"/>
  <c r="N19" i="39124" s="1"/>
  <c r="AG38" i="39124"/>
  <c r="N38" i="39124" s="1"/>
  <c r="AG37" i="39124"/>
  <c r="N37" i="39124" s="1"/>
  <c r="AG43" i="39124"/>
  <c r="N43" i="39124" s="1"/>
  <c r="AG9" i="39124"/>
  <c r="N9" i="39124" s="1"/>
  <c r="AG29" i="39124"/>
  <c r="N29" i="39124" s="1"/>
  <c r="AG18" i="39124"/>
  <c r="N18" i="39124" s="1"/>
  <c r="AG53" i="39124"/>
  <c r="N53" i="39124" s="1"/>
  <c r="AG21" i="39124"/>
  <c r="N21" i="39124" s="1"/>
  <c r="AG27" i="39124"/>
  <c r="N27" i="39124" s="1"/>
  <c r="AG28" i="39124"/>
  <c r="N28" i="39124" s="1"/>
  <c r="AG40" i="39124"/>
  <c r="N40" i="39124" s="1"/>
  <c r="AG22" i="39124"/>
  <c r="N22" i="39124" s="1"/>
  <c r="AG49" i="39124"/>
  <c r="N49" i="39124" s="1"/>
  <c r="AG16" i="39124"/>
  <c r="N16" i="39124" s="1"/>
  <c r="AG50" i="39124"/>
  <c r="N50" i="39124" s="1"/>
  <c r="AG34" i="39124"/>
  <c r="N34" i="39124" s="1"/>
  <c r="AG11" i="39124"/>
  <c r="N11" i="39124" s="1"/>
  <c r="AG36" i="39124"/>
  <c r="N36" i="39124" s="1"/>
  <c r="AG42" i="39124"/>
  <c r="N42" i="39124" s="1"/>
  <c r="AG26" i="39124"/>
  <c r="N26" i="39124" s="1"/>
  <c r="AG25" i="39124"/>
  <c r="N25" i="39124" s="1"/>
  <c r="AG31" i="39124"/>
  <c r="N31" i="39124" s="1"/>
  <c r="AG30" i="39124"/>
  <c r="N30" i="39124" s="1"/>
  <c r="AG47" i="39124"/>
  <c r="N47" i="39124" s="1"/>
  <c r="AG10" i="39124"/>
  <c r="N10" i="39124" s="1"/>
  <c r="AG55" i="39124"/>
  <c r="N55" i="39124" s="1"/>
  <c r="AG41" i="39124"/>
  <c r="N41" i="39124" s="1"/>
  <c r="AG24" i="39124"/>
  <c r="N24" i="39124" s="1"/>
  <c r="AG45" i="39124"/>
  <c r="N45" i="39124" s="1"/>
  <c r="AG56" i="39124"/>
  <c r="N56" i="39124" s="1"/>
  <c r="AG32" i="39124"/>
  <c r="N32" i="39124" s="1"/>
  <c r="AG17" i="39124"/>
  <c r="N17" i="39124" s="1"/>
  <c r="AG52" i="39124"/>
  <c r="N52" i="39124" s="1"/>
  <c r="AG51" i="39124"/>
  <c r="N51" i="39124" s="1"/>
  <c r="AG44" i="39124"/>
  <c r="N44" i="39124" s="1"/>
  <c r="AG13" i="39124"/>
  <c r="N13" i="39124" s="1"/>
  <c r="AG35" i="39124"/>
  <c r="N35" i="39124" s="1"/>
  <c r="AG39" i="39124"/>
  <c r="N39" i="39124" s="1"/>
  <c r="AG33" i="39124"/>
  <c r="N33" i="39124" s="1"/>
  <c r="AG54" i="39124"/>
  <c r="N54" i="39124" s="1"/>
  <c r="AG57" i="39124"/>
  <c r="N57" i="39124" s="1"/>
  <c r="AG46" i="39124"/>
  <c r="N46" i="39124" s="1"/>
  <c r="AG23" i="39124"/>
  <c r="N23" i="39124" s="1"/>
  <c r="AG20" i="39124"/>
  <c r="N20" i="39124" s="1"/>
  <c r="F11" i="515"/>
  <c r="F52" i="515"/>
  <c r="F26" i="515"/>
  <c r="F15" i="515"/>
  <c r="F16" i="515"/>
  <c r="F7" i="515"/>
  <c r="S14" i="39124"/>
  <c r="E13" i="515"/>
  <c r="E19" i="515"/>
  <c r="F9" i="515"/>
  <c r="F55" i="515"/>
  <c r="F50" i="515"/>
  <c r="F23" i="515"/>
  <c r="F43" i="515"/>
  <c r="F35" i="515"/>
  <c r="E35" i="515"/>
  <c r="E8" i="515"/>
  <c r="E31" i="515"/>
  <c r="E32" i="515"/>
  <c r="F13" i="515"/>
  <c r="F24" i="515"/>
  <c r="F36" i="515"/>
  <c r="F10" i="515"/>
  <c r="F48" i="515"/>
  <c r="F51" i="515"/>
  <c r="F39" i="515"/>
  <c r="F17" i="515"/>
  <c r="F32" i="515"/>
  <c r="F31" i="515"/>
  <c r="F41" i="515"/>
  <c r="F45" i="515"/>
  <c r="F56" i="515"/>
  <c r="E51" i="515"/>
  <c r="F27" i="515"/>
  <c r="F30" i="515"/>
  <c r="F20" i="515"/>
  <c r="F46" i="515"/>
  <c r="F29" i="515"/>
  <c r="F33" i="515"/>
  <c r="F21" i="515"/>
  <c r="F44" i="515"/>
  <c r="F47" i="515"/>
  <c r="F18" i="515"/>
  <c r="F49" i="515"/>
  <c r="F28" i="515"/>
  <c r="F38" i="515"/>
  <c r="F42" i="515"/>
  <c r="F34" i="515"/>
  <c r="F14" i="515"/>
  <c r="F54" i="515"/>
  <c r="F8" i="515"/>
  <c r="F40" i="515"/>
  <c r="F53" i="515"/>
  <c r="F19" i="515"/>
  <c r="F25" i="515"/>
  <c r="F22" i="515"/>
  <c r="F37" i="515"/>
  <c r="E12" i="515"/>
  <c r="E33" i="515"/>
  <c r="E28" i="515"/>
  <c r="E56" i="515"/>
  <c r="E16" i="515"/>
  <c r="E49" i="515"/>
  <c r="E50" i="515"/>
  <c r="E7" i="515"/>
  <c r="S42" i="39124"/>
  <c r="E41" i="515"/>
  <c r="E37" i="515"/>
  <c r="E45" i="515"/>
  <c r="E38" i="515"/>
  <c r="E36" i="515"/>
  <c r="E29" i="515"/>
  <c r="E39" i="515"/>
  <c r="E14" i="515"/>
  <c r="E53" i="515"/>
  <c r="E22" i="515"/>
  <c r="E52" i="515"/>
  <c r="E25" i="515"/>
  <c r="E55" i="515"/>
  <c r="E47" i="515"/>
  <c r="E48" i="515"/>
  <c r="E54" i="515"/>
  <c r="E18" i="515"/>
  <c r="E43" i="515"/>
  <c r="E40" i="515"/>
  <c r="E23" i="515"/>
  <c r="E15" i="515"/>
  <c r="E21" i="515"/>
  <c r="E44" i="515"/>
  <c r="E17" i="515"/>
  <c r="E24" i="515"/>
  <c r="E27" i="515"/>
  <c r="E20" i="515"/>
  <c r="E26" i="515"/>
  <c r="E34" i="515"/>
  <c r="E42" i="515"/>
  <c r="E11" i="515"/>
  <c r="E10" i="515"/>
  <c r="E9" i="515"/>
  <c r="E30" i="515"/>
  <c r="E46" i="515"/>
  <c r="B54" i="39124"/>
  <c r="B23" i="39124"/>
  <c r="B53" i="39124"/>
  <c r="B26" i="39124"/>
  <c r="B56" i="39124"/>
  <c r="B48" i="39124"/>
  <c r="B49" i="39124"/>
  <c r="B55" i="39124"/>
  <c r="B19" i="39124"/>
  <c r="B44" i="39124"/>
  <c r="B41" i="39124"/>
  <c r="B24" i="39124"/>
  <c r="B16" i="39124"/>
  <c r="B22" i="39124"/>
  <c r="B45" i="39124"/>
  <c r="B18" i="39124"/>
  <c r="B25" i="39124"/>
  <c r="B28" i="39124"/>
  <c r="B21" i="39124"/>
  <c r="B27" i="39124"/>
  <c r="B30" i="39124"/>
  <c r="B35" i="39124"/>
  <c r="B43" i="39124"/>
  <c r="B12" i="39124"/>
  <c r="B11" i="39124"/>
  <c r="B10" i="39124"/>
  <c r="B37" i="39124"/>
  <c r="B20" i="39124"/>
  <c r="B32" i="39124"/>
  <c r="B33" i="39124"/>
  <c r="B8" i="39124"/>
  <c r="B36" i="39124"/>
  <c r="B57" i="39124"/>
  <c r="B38" i="39124"/>
  <c r="B46" i="39124"/>
  <c r="B13" i="39124"/>
  <c r="B17" i="39124"/>
  <c r="B39" i="39124"/>
  <c r="B52" i="39124"/>
  <c r="B51" i="39124"/>
  <c r="B50" i="39124"/>
  <c r="B40" i="39124"/>
  <c r="B29" i="39124"/>
  <c r="B34" i="39124"/>
  <c r="B9" i="39124"/>
  <c r="B15" i="39124"/>
  <c r="B47" i="39124"/>
  <c r="B31" i="39124"/>
  <c r="Q53" i="39124" l="1"/>
  <c r="J53" i="39124" s="1"/>
  <c r="B14" i="39124"/>
  <c r="Q42" i="39124"/>
  <c r="J42" i="39124" s="1"/>
  <c r="Q51" i="39124"/>
  <c r="J51" i="39124" s="1"/>
  <c r="Q52" i="39124"/>
  <c r="J52" i="39124" s="1"/>
  <c r="Q37" i="39124"/>
  <c r="J37" i="39124" s="1"/>
  <c r="Q31" i="39124"/>
  <c r="J31" i="39124" s="1"/>
  <c r="Q47" i="39124"/>
  <c r="J47" i="39124" s="1"/>
  <c r="Q15" i="39124"/>
  <c r="J15" i="39124" s="1"/>
  <c r="Q9" i="39124"/>
  <c r="J9" i="39124" s="1"/>
  <c r="Q34" i="39124"/>
  <c r="J34" i="39124" s="1"/>
  <c r="Q29" i="39124"/>
  <c r="J29" i="39124" s="1"/>
  <c r="Q40" i="39124"/>
  <c r="J40" i="39124" s="1"/>
  <c r="Q17" i="39124"/>
  <c r="J17" i="39124" s="1"/>
  <c r="Q13" i="39124"/>
  <c r="J13" i="39124" s="1"/>
  <c r="Q46" i="39124"/>
  <c r="J46" i="39124" s="1"/>
  <c r="Q38" i="39124"/>
  <c r="J38" i="39124" s="1"/>
  <c r="Q57" i="39124"/>
  <c r="J57" i="39124" s="1"/>
  <c r="Q36" i="39124"/>
  <c r="J36" i="39124" s="1"/>
  <c r="B42" i="39124"/>
  <c r="Q16" i="39124"/>
  <c r="J16" i="39124" s="1"/>
  <c r="Q50" i="39124"/>
  <c r="J50" i="39124" s="1"/>
  <c r="Q39" i="39124"/>
  <c r="J39" i="39124" s="1"/>
  <c r="Q8" i="39124"/>
  <c r="J8" i="39124" s="1"/>
  <c r="Q14" i="39124"/>
  <c r="J14" i="39124" s="1"/>
  <c r="Q33" i="39124"/>
  <c r="J33" i="39124" s="1"/>
  <c r="Q32" i="39124"/>
  <c r="J32" i="39124" s="1"/>
  <c r="Q20" i="39124"/>
  <c r="J20" i="39124" s="1"/>
  <c r="Q10" i="39124"/>
  <c r="J10" i="39124" s="1"/>
  <c r="Q11" i="39124"/>
  <c r="J11" i="39124" s="1"/>
  <c r="Q12" i="39124"/>
  <c r="J12" i="39124" s="1"/>
  <c r="Q43" i="39124"/>
  <c r="J43" i="39124" s="1"/>
  <c r="Q35" i="39124"/>
  <c r="J35" i="39124" s="1"/>
  <c r="Q30" i="39124"/>
  <c r="J30" i="39124" s="1"/>
  <c r="Q27" i="39124"/>
  <c r="J27" i="39124" s="1"/>
  <c r="Q21" i="39124"/>
  <c r="J21" i="39124" s="1"/>
  <c r="Q28" i="39124"/>
  <c r="J28" i="39124" s="1"/>
  <c r="Q25" i="39124"/>
  <c r="J25" i="39124" s="1"/>
  <c r="Q18" i="39124"/>
  <c r="J18" i="39124" s="1"/>
  <c r="Q45" i="39124"/>
  <c r="J45" i="39124" s="1"/>
  <c r="Q22" i="39124"/>
  <c r="J22" i="39124" s="1"/>
  <c r="Q24" i="39124"/>
  <c r="J24" i="39124" s="1"/>
  <c r="Q41" i="39124"/>
  <c r="J41" i="39124" s="1"/>
  <c r="Q44" i="39124"/>
  <c r="J44" i="39124" s="1"/>
  <c r="Q19" i="39124"/>
  <c r="J19" i="39124" s="1"/>
  <c r="Q55" i="39124"/>
  <c r="J55" i="39124" s="1"/>
  <c r="Q49" i="39124"/>
  <c r="J49" i="39124" s="1"/>
  <c r="Q48" i="39124"/>
  <c r="J48" i="39124" s="1"/>
  <c r="Q56" i="39124"/>
  <c r="J56" i="39124" s="1"/>
  <c r="Q26" i="39124"/>
  <c r="J26" i="39124" s="1"/>
  <c r="Q23" i="39124"/>
  <c r="J23" i="39124" s="1"/>
  <c r="Q54" i="39124"/>
  <c r="J54" i="39124" s="1"/>
</calcChain>
</file>

<file path=xl/sharedStrings.xml><?xml version="1.0" encoding="utf-8"?>
<sst xmlns="http://schemas.openxmlformats.org/spreadsheetml/2006/main" count="2376" uniqueCount="837">
  <si>
    <t>AL</t>
  </si>
  <si>
    <t>AK</t>
  </si>
  <si>
    <t>AZ</t>
  </si>
  <si>
    <t>AR</t>
  </si>
  <si>
    <t>CA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</si>
  <si>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</si>
  <si>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</si>
  <si>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</si>
  <si>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</si>
  <si>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</si>
  <si>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</si>
  <si>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</si>
  <si>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</si>
  <si>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</si>
  <si>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</si>
  <si>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</si>
  <si>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</si>
  <si>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</si>
  <si>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</si>
  <si>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</si>
  <si>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</si>
  <si>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</si>
  <si>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</si>
  <si>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</si>
  <si>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</si>
  <si>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</si>
  <si>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</si>
  <si>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</si>
  <si>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</si>
  <si>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</si>
  <si>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</si>
  <si>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</si>
  <si>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</si>
  <si>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</si>
  <si>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</si>
  <si>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</si>
  <si>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</si>
  <si>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</si>
  <si>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</si>
  <si>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</si>
  <si>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</si>
  <si>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</si>
  <si>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</si>
  <si>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</si>
  <si>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</si>
  <si>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</si>
  <si>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</si>
  <si>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</si>
  <si>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</si>
  <si>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</si>
  <si>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Totals</t>
  </si>
  <si>
    <t>State</t>
  </si>
  <si>
    <t>Party</t>
  </si>
  <si>
    <t>Uncontested</t>
  </si>
  <si>
    <t>Competitiveness</t>
  </si>
  <si>
    <t>Dropoff</t>
  </si>
  <si>
    <t>All other information will be calculated automatically.</t>
  </si>
  <si>
    <t>Scale of Competitiveness</t>
  </si>
  <si>
    <t>Winning margin</t>
  </si>
  <si>
    <t>No contest</t>
  </si>
  <si>
    <t>Landslide</t>
  </si>
  <si>
    <t>Opportunity</t>
  </si>
  <si>
    <t>Competitive</t>
  </si>
  <si>
    <t>Tight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</si>
  <si>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</si>
  <si>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</si>
  <si>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</si>
  <si>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</si>
  <si>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</si>
  <si>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</si>
  <si>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</si>
  <si>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</si>
  <si>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</si>
  <si>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</si>
  <si>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</si>
  <si>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</si>
  <si>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</si>
  <si>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</si>
  <si>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</si>
  <si>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</si>
  <si>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</si>
  <si>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</si>
  <si>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</si>
  <si>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</si>
  <si>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</si>
  <si>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</si>
  <si>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</si>
  <si>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</si>
  <si>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</si>
  <si>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</si>
  <si>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</si>
  <si>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</si>
  <si>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</si>
  <si>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</si>
  <si>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</si>
  <si>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</si>
  <si>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</si>
  <si>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</si>
  <si>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</si>
  <si>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</si>
  <si>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</si>
  <si>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</si>
  <si>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</si>
  <si>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</si>
  <si>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</si>
  <si>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</si>
  <si>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</si>
  <si>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</si>
  <si>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</si>
  <si>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</si>
  <si>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</si>
  <si>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</si>
  <si>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</si>
  <si>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</si>
  <si>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ST</t>
  </si>
  <si>
    <t>Votes</t>
  </si>
  <si>
    <t>Dem</t>
  </si>
  <si>
    <t>Rep</t>
  </si>
  <si>
    <t>Other</t>
  </si>
  <si>
    <t>Total</t>
  </si>
  <si>
    <t>Winning</t>
  </si>
  <si>
    <t>Winnner</t>
  </si>
  <si>
    <t>Runner up</t>
  </si>
  <si>
    <t>Vote totals</t>
  </si>
  <si>
    <t>Wasted votes</t>
  </si>
  <si>
    <t>%</t>
  </si>
  <si>
    <t>MOV</t>
  </si>
  <si>
    <t>Indexes</t>
  </si>
  <si>
    <t>Democracy</t>
  </si>
  <si>
    <t>Seats</t>
  </si>
  <si>
    <t>Percent</t>
  </si>
  <si>
    <t>Data by District sheet</t>
  </si>
  <si>
    <t>Data by State</t>
  </si>
  <si>
    <t>"Dem Votes" Column D</t>
  </si>
  <si>
    <t>"Rep Votes" Column E</t>
  </si>
  <si>
    <t>"Total Votes" Column G</t>
  </si>
  <si>
    <t>% of votes</t>
  </si>
  <si>
    <t>Winner</t>
  </si>
  <si>
    <t>Votes for</t>
  </si>
  <si>
    <t>House</t>
  </si>
  <si>
    <t>Seat %</t>
  </si>
  <si>
    <t>Seats-to-Votes</t>
  </si>
  <si>
    <t>Repres</t>
  </si>
  <si>
    <t>votes</t>
  </si>
  <si>
    <t>Seats-to-</t>
  </si>
  <si>
    <t>Wasted Votes</t>
  </si>
  <si>
    <t>Percent Wasted</t>
  </si>
  <si>
    <t>Number of seats</t>
  </si>
  <si>
    <t>Uncont?</t>
  </si>
  <si>
    <t>Date by District</t>
  </si>
  <si>
    <t>Column</t>
  </si>
  <si>
    <t>Description</t>
  </si>
  <si>
    <t>D, E and G</t>
  </si>
  <si>
    <t>F</t>
  </si>
  <si>
    <t>H</t>
  </si>
  <si>
    <t>"Other" votes is calculated automatically.  This includes all votes cast for candidates other than Dem and Rep.</t>
  </si>
  <si>
    <t>Runner up is calculated as the 2nd highest total among Dem, Rep and Other.  Note that if the other total is 2nd highest, this could include votes from more than 1 candidate.</t>
  </si>
  <si>
    <t>J</t>
  </si>
  <si>
    <t>"Margin of Victory" is calculated as (winner total-runner up total)/total votes.</t>
  </si>
  <si>
    <t xml:space="preserve">K </t>
  </si>
  <si>
    <t>"Winning %" = winner's votes / total votes</t>
  </si>
  <si>
    <t>L</t>
  </si>
  <si>
    <t>M</t>
  </si>
  <si>
    <t>N</t>
  </si>
  <si>
    <t>"Wasted votes" equals votes cast by a party for a candidate who loses.</t>
  </si>
  <si>
    <t>C</t>
  </si>
  <si>
    <t>D</t>
  </si>
  <si>
    <t>Landslide index is the percent of races in a state won by landslide margins.</t>
  </si>
  <si>
    <t>I</t>
  </si>
  <si>
    <t>R</t>
  </si>
  <si>
    <t>S</t>
  </si>
  <si>
    <t>Total seats</t>
  </si>
  <si>
    <t>Number of seats in the state won by each of the ranges</t>
  </si>
  <si>
    <t>Number of seats in the state that were not contested by both Dem and Rep, and the percent of seats in the state that weren't contested.</t>
  </si>
  <si>
    <t>Number of votes cast for winning candidates as a percent of total votes cast in House races.</t>
  </si>
  <si>
    <t>Total votes cast in House races in the state.</t>
  </si>
  <si>
    <t>Seats won by Dem, Rep and Other.</t>
  </si>
  <si>
    <t>If a party wins its fair share (eg, 40% of the seats with 40% of the votes), the distortion is 0.</t>
  </si>
  <si>
    <t>If a party wins an unfair share (eg, no seats with 40%, or 100% of the seats with 60% of the vote), the ratio is a positive number between 0 and 100%.</t>
  </si>
  <si>
    <t>If a party wins 0% of the seats with 40% of the votes, the distortion is abs (40% - 0%) = 40%.</t>
  </si>
  <si>
    <t>Total wasted votes:  sum of all votes cast for candidates that didn't win.</t>
  </si>
  <si>
    <t>NOTE:  This definition could be modified to include all votes cast for losing candidates PLUS all votes above 50% cast for a winning candidate.</t>
  </si>
  <si>
    <t>Dem, Rep and Other wasted votes as a percent of total Dem, Rep or Other votes cast for House.</t>
  </si>
  <si>
    <t>Winner total is computed as the max of Dem, Rep and Other votes.</t>
  </si>
  <si>
    <t>"Uncontested" is "Yes" if the race was not contested by both Dem and Rep, "No" otherwise; combined with state abbreviation.</t>
  </si>
  <si>
    <t>"Party" = winning party (Dem, Rep or Other); combined with state abbreviation.</t>
  </si>
  <si>
    <t>"Competitiveness" range defined by categories above (No contest, landslide, opportunity, competitive, tight); combined with state abbreviation.</t>
  </si>
  <si>
    <t>Seats-to-Votes ratio is the average of the Dem and Rep seats-to-votes distortion (see below).</t>
  </si>
  <si>
    <t>Total votes cast for Dem, Rep and Other candidates.</t>
  </si>
  <si>
    <t>Percent of total votes cast for Dem, Rep and Other.</t>
  </si>
  <si>
    <t>Percent of seats won by Dem, Rep and Other.</t>
  </si>
  <si>
    <t>For example, a party that wins 60% of the seats with 40% of the votes has a distoriont equal to abs(40% -60%) = 20%.</t>
  </si>
  <si>
    <t>Turnout</t>
  </si>
  <si>
    <t>Top ticket</t>
  </si>
  <si>
    <t>Ranking</t>
  </si>
  <si>
    <t>US</t>
  </si>
  <si>
    <t>Index</t>
  </si>
  <si>
    <t>Representation</t>
  </si>
  <si>
    <t>Democ</t>
  </si>
  <si>
    <t>Land</t>
  </si>
  <si>
    <t>Rel.</t>
  </si>
  <si>
    <t>Abs.</t>
  </si>
  <si>
    <t>Based on ranking of each index.</t>
  </si>
  <si>
    <t>Based on value of each index, scaled so that 100% is good.</t>
  </si>
  <si>
    <t>Rankings (1-50)</t>
  </si>
  <si>
    <t>Landsl</t>
  </si>
  <si>
    <t>"Top of Ticket" Turnout" Column AM on "Data By State"</t>
  </si>
  <si>
    <t>USA</t>
  </si>
  <si>
    <t>n/a</t>
  </si>
  <si>
    <t>Rankings of states by indexes</t>
  </si>
  <si>
    <t>Repre</t>
  </si>
  <si>
    <t>Uses top ticket turnout</t>
  </si>
  <si>
    <t>turnout</t>
  </si>
  <si>
    <t>This pages uses formulas based on the sheet, Data by State.</t>
  </si>
  <si>
    <t>Dubious Democracy:  Data by State</t>
  </si>
  <si>
    <t>Summary table:  indexes</t>
  </si>
  <si>
    <t>Summary table:  rankings</t>
  </si>
  <si>
    <t>P, Q, R</t>
  </si>
  <si>
    <t>O</t>
  </si>
  <si>
    <t>E, F</t>
  </si>
  <si>
    <t>K</t>
  </si>
  <si>
    <t>Turnout ranking</t>
  </si>
  <si>
    <t>L, M</t>
  </si>
  <si>
    <t>Relative and absolute "Democracy index" combining the other 4 indices described below, with representation weighted twice.</t>
  </si>
  <si>
    <t>P</t>
  </si>
  <si>
    <t>Q</t>
  </si>
  <si>
    <t>T, U, V, W</t>
  </si>
  <si>
    <t>X, Y, Z</t>
  </si>
  <si>
    <t>G, H, I, J</t>
  </si>
  <si>
    <t>AA</t>
  </si>
  <si>
    <t>AB</t>
  </si>
  <si>
    <t>AC</t>
  </si>
  <si>
    <t>AD, AE, AF</t>
  </si>
  <si>
    <t>AG, AH, AI</t>
  </si>
  <si>
    <t>AJ, AK, AL</t>
  </si>
  <si>
    <t>AM, AN, AO</t>
  </si>
  <si>
    <t>AP, AQ, AR</t>
  </si>
  <si>
    <t>AS</t>
  </si>
  <si>
    <t>Number of votes cast for winning candidates</t>
  </si>
  <si>
    <t>Seats-to-votes distortion for Dem, Rep and Other, defined as the absolute value of (Votes for party / Total votes cast) - (Seats won by party / Total seats in the state).</t>
  </si>
  <si>
    <t>AT</t>
  </si>
  <si>
    <t>AT, AU, AW</t>
  </si>
  <si>
    <t>Total wasted Dem, Rep and Other votes, defined as sum of all votes cast for candidates who did not win.</t>
  </si>
  <si>
    <t>AX</t>
  </si>
  <si>
    <t>Wasted votes as percent of total votes cast</t>
  </si>
  <si>
    <t>AY, AZ, BA</t>
  </si>
  <si>
    <t>Explanations of columns and calculations</t>
  </si>
  <si>
    <t>Notes:</t>
  </si>
  <si>
    <t>1.  Please bring any errors to the attention of:</t>
  </si>
  <si>
    <t>VEP*</t>
  </si>
  <si>
    <t>* VEP is the voting eligible population. VEP  is VAP minus Non-Citizens minus Ineligible Felons plus Overseas VEP.</t>
  </si>
  <si>
    <t>Rankings for MOV, landslides, representation and seats-to-votes ratio</t>
  </si>
  <si>
    <t>NA</t>
  </si>
  <si>
    <t>"VEP" is the statewide voting eligible population</t>
  </si>
  <si>
    <t>2.  Data based on final, official results.</t>
  </si>
  <si>
    <t>statewide office was on the ballot, the sum of the congressional races is used instead.  In presidential election years,</t>
  </si>
  <si>
    <t xml:space="preserve"> Indexes</t>
  </si>
  <si>
    <t>"VEP" Column AN on "Data By State"</t>
  </si>
  <si>
    <t>Enter vote totals for Dem, Rep and Other in the purple-shaded cells.</t>
  </si>
  <si>
    <t>"VT 3rd Party" treats Vermont as a special case of a race between an Indep, a Dem, a Rep, and other parties. Only applies to VT.</t>
  </si>
  <si>
    <t xml:space="preserve">Relative and absolute democracy rankings </t>
  </si>
  <si>
    <t>Representation index is the number of people who voted for a winner, expressed as a percentage of the VEP.</t>
  </si>
  <si>
    <t>Voter turnout as percent of eligible VEP</t>
  </si>
  <si>
    <t>House drop-off:  percent of people in top ticket race who did not vote for House, as percent fo VEP</t>
  </si>
  <si>
    <t>Uses VEP</t>
  </si>
  <si>
    <t>Enter Top ticket turnout and VEP in purple</t>
  </si>
  <si>
    <t>or, approximately:</t>
  </si>
  <si>
    <t>LA-No</t>
  </si>
  <si>
    <t>Vote totals of 1 = Uncontested</t>
  </si>
  <si>
    <t>LA-Yes</t>
  </si>
  <si>
    <t>DUBIOUS DEMOCRACY - DATA BY DISTRICT</t>
  </si>
  <si>
    <t>Top Ticket</t>
  </si>
  <si>
    <t>VEP</t>
  </si>
  <si>
    <t>% Votes Wasted</t>
  </si>
  <si>
    <t>% Uncontested</t>
  </si>
  <si>
    <t xml:space="preserve">If seats were apportioned </t>
  </si>
  <si>
    <t>% Votes Won</t>
  </si>
  <si>
    <t>Total Votes Won</t>
  </si>
  <si>
    <t>% Total Seats Won</t>
  </si>
  <si>
    <t>Seats Won</t>
  </si>
  <si>
    <t>Democrats</t>
  </si>
  <si>
    <t>Republicans</t>
  </si>
  <si>
    <t>Votes-to-Seat</t>
  </si>
  <si>
    <t xml:space="preserve">Dems would win: </t>
  </si>
  <si>
    <t xml:space="preserve">Reps would win: </t>
  </si>
  <si>
    <t>N/A</t>
  </si>
  <si>
    <t>Inds would win:</t>
  </si>
  <si>
    <t>by percentage of vote:</t>
  </si>
  <si>
    <t>seats</t>
  </si>
  <si>
    <t>Independents</t>
  </si>
  <si>
    <t>Tight Races</t>
  </si>
  <si>
    <t>Competitive Races</t>
  </si>
  <si>
    <t>Landslide Races</t>
  </si>
  <si>
    <t>No Contest Races</t>
  </si>
  <si>
    <t>Uncontested Races</t>
  </si>
  <si>
    <t>Total Seats</t>
  </si>
  <si>
    <t>Seats to Votes</t>
  </si>
  <si>
    <t>House Turnout</t>
  </si>
  <si>
    <t>House Dropoff</t>
  </si>
  <si>
    <t xml:space="preserve"> % Votes for Winner</t>
  </si>
  <si>
    <t>Total # Votes</t>
  </si>
  <si>
    <t xml:space="preserve"># Other </t>
  </si>
  <si>
    <t>% Dem</t>
  </si>
  <si>
    <t>% Rep</t>
  </si>
  <si>
    <t>% Other</t>
  </si>
  <si>
    <t>Total # Seats</t>
  </si>
  <si>
    <t># Dem</t>
  </si>
  <si>
    <t># Rep</t>
  </si>
  <si>
    <t># Other</t>
  </si>
  <si>
    <t>Other seats to votes</t>
  </si>
  <si>
    <t>Rep. seats to votes</t>
  </si>
  <si>
    <t>Dem. seats to votes</t>
  </si>
  <si>
    <t>"MOV" is the statewide average margin of victory: sum of MOVs from each district / number of districts.</t>
  </si>
  <si>
    <t>Representative</t>
  </si>
  <si>
    <t xml:space="preserve"> Elected</t>
  </si>
  <si>
    <t>Year First</t>
  </si>
  <si>
    <t>Seat Changes</t>
  </si>
  <si>
    <t xml:space="preserve"># I. </t>
  </si>
  <si>
    <t>Lands.</t>
  </si>
  <si>
    <t>% I.</t>
  </si>
  <si>
    <t># of</t>
  </si>
  <si>
    <t>Incum. Re-elect.</t>
  </si>
  <si>
    <t>Incum. Running</t>
  </si>
  <si>
    <t>Opportunity Races</t>
  </si>
  <si>
    <t>Total seats:</t>
  </si>
  <si>
    <t>2-party</t>
  </si>
  <si>
    <t>Total Wasted</t>
  </si>
  <si>
    <t>State wasted totals</t>
  </si>
  <si>
    <t>Avg. 2-party MOV</t>
  </si>
  <si>
    <t>info@fairvote.org</t>
  </si>
  <si>
    <t>A vote total of 1 was used to signify the incumbent for such uncontested races.</t>
  </si>
  <si>
    <t>LA Nov</t>
  </si>
  <si>
    <t>Election</t>
  </si>
  <si>
    <t>Incum. running</t>
  </si>
  <si>
    <t>Incum. Defeated</t>
  </si>
  <si>
    <t>Incumbent defeated</t>
  </si>
  <si>
    <t>in GE</t>
  </si>
  <si>
    <t>AI</t>
  </si>
  <si>
    <t>Woman</t>
  </si>
  <si>
    <t>Asian</t>
  </si>
  <si>
    <t>Hisp.</t>
  </si>
  <si>
    <t>Women</t>
  </si>
  <si>
    <t>AL-Yes</t>
  </si>
  <si>
    <t>AZ-Yes</t>
  </si>
  <si>
    <t>CA-Yes</t>
  </si>
  <si>
    <t>CO-Yes</t>
  </si>
  <si>
    <t>CT-Yes</t>
  </si>
  <si>
    <t>FL-Yes</t>
  </si>
  <si>
    <t>GA-Yes</t>
  </si>
  <si>
    <t>HI-Yes</t>
  </si>
  <si>
    <t>ID-Yes</t>
  </si>
  <si>
    <t>IL-Yes</t>
  </si>
  <si>
    <t>IN-Yes</t>
  </si>
  <si>
    <t>KS-Yes</t>
  </si>
  <si>
    <t>ME-Yes</t>
  </si>
  <si>
    <t>MD-Yes</t>
  </si>
  <si>
    <t>MA-Yes</t>
  </si>
  <si>
    <t>MI-Yes</t>
  </si>
  <si>
    <t>MN-Yes</t>
  </si>
  <si>
    <t>MS-Yes</t>
  </si>
  <si>
    <t>MO-Yes</t>
  </si>
  <si>
    <t>NV-Yes</t>
  </si>
  <si>
    <t>NJ-Yes</t>
  </si>
  <si>
    <t>NM-Yes</t>
  </si>
  <si>
    <t>NY-Yes</t>
  </si>
  <si>
    <t>NC-Yes</t>
  </si>
  <si>
    <t>OH-Yes</t>
  </si>
  <si>
    <t>OK-Yes</t>
  </si>
  <si>
    <t>OR-Yes</t>
  </si>
  <si>
    <t>PA-Yes</t>
  </si>
  <si>
    <t>SC-Yes</t>
  </si>
  <si>
    <t>SD-Yes</t>
  </si>
  <si>
    <t>TN-Yes</t>
  </si>
  <si>
    <t>TX-Yes</t>
  </si>
  <si>
    <t>VA-Yes</t>
  </si>
  <si>
    <t>WA-Yes</t>
  </si>
  <si>
    <t>WV-Yes</t>
  </si>
  <si>
    <t>WI-Yes</t>
  </si>
  <si>
    <t>WY-Yes</t>
  </si>
  <si>
    <t>Competitive:</t>
  </si>
  <si>
    <t>Non-Competitive:</t>
  </si>
  <si>
    <t>I.</t>
  </si>
  <si>
    <t>Dem.</t>
  </si>
  <si>
    <t>Rep.</t>
  </si>
  <si>
    <t>I. Dem.</t>
  </si>
  <si>
    <t>I. Rep.</t>
  </si>
  <si>
    <t>Seat</t>
  </si>
  <si>
    <t>Changes</t>
  </si>
  <si>
    <t>Martha Roby</t>
  </si>
  <si>
    <t>Mike Rogers</t>
  </si>
  <si>
    <t>Robert Aderholt</t>
  </si>
  <si>
    <t>Mo Brooks</t>
  </si>
  <si>
    <t>Terri Sewell</t>
  </si>
  <si>
    <t>Don Young</t>
  </si>
  <si>
    <t>Ann Kirkpatrick</t>
  </si>
  <si>
    <t>Raul Grijalva</t>
  </si>
  <si>
    <t>Paul Gosar</t>
  </si>
  <si>
    <t>Matt Salmon</t>
  </si>
  <si>
    <t>David Schweikert</t>
  </si>
  <si>
    <t>Trent Franks</t>
  </si>
  <si>
    <t>Kyrsten Sinema</t>
  </si>
  <si>
    <t>Rick Crawford</t>
  </si>
  <si>
    <t>Steve Womack</t>
  </si>
  <si>
    <t>Doug La Malfa</t>
  </si>
  <si>
    <t>Jared Huffman</t>
  </si>
  <si>
    <t>John Garamendi</t>
  </si>
  <si>
    <t>Tom McClintock</t>
  </si>
  <si>
    <t>Mike Thompson</t>
  </si>
  <si>
    <t>Doris Matsui</t>
  </si>
  <si>
    <t>Ami Bera</t>
  </si>
  <si>
    <t>Paul Cook</t>
  </si>
  <si>
    <t>Jerry McNerney</t>
  </si>
  <si>
    <t>Jeff Denham</t>
  </si>
  <si>
    <t>Nancy Pelosi</t>
  </si>
  <si>
    <t>Barbara Lee</t>
  </si>
  <si>
    <t>Jackie Speier</t>
  </si>
  <si>
    <t>Eric Swalwell</t>
  </si>
  <si>
    <t>Jim Costa</t>
  </si>
  <si>
    <t>Mike Honda</t>
  </si>
  <si>
    <t>Anna Eshoo</t>
  </si>
  <si>
    <t>Zoe Lofgren</t>
  </si>
  <si>
    <t>Sam Farr</t>
  </si>
  <si>
    <t>David Valadao</t>
  </si>
  <si>
    <t>Devin Nunes</t>
  </si>
  <si>
    <t>Kevin McCarthy</t>
  </si>
  <si>
    <t>Lois Capps</t>
  </si>
  <si>
    <t>Julia Brownley</t>
  </si>
  <si>
    <t>Judy Chu</t>
  </si>
  <si>
    <t>Adam Schiff</t>
  </si>
  <si>
    <t>Tony Cardenas</t>
  </si>
  <si>
    <t>Brad Sherman</t>
  </si>
  <si>
    <t>Grace Napolitano</t>
  </si>
  <si>
    <t>Xavier Becerra</t>
  </si>
  <si>
    <t>Raul Ruiz</t>
  </si>
  <si>
    <t>Karen Bass</t>
  </si>
  <si>
    <t>Linda Sanchez</t>
  </si>
  <si>
    <t>Ed Royce</t>
  </si>
  <si>
    <t>Mark Takano</t>
  </si>
  <si>
    <t>Ken Calvert</t>
  </si>
  <si>
    <t>Maxine Waters</t>
  </si>
  <si>
    <t>Janice Hahn</t>
  </si>
  <si>
    <t>Loretta Sanchez</t>
  </si>
  <si>
    <t>Alan Lowenthal</t>
  </si>
  <si>
    <t>Dana Rohrabacher</t>
  </si>
  <si>
    <t>Darrell Issa</t>
  </si>
  <si>
    <t>Duncan D. Hunter</t>
  </si>
  <si>
    <t>Juan Vargas</t>
  </si>
  <si>
    <t>Scott Peters</t>
  </si>
  <si>
    <t>Susan Davis</t>
  </si>
  <si>
    <t>Diana DeGette</t>
  </si>
  <si>
    <t>Jared Polis</t>
  </si>
  <si>
    <t>Scott Tipton</t>
  </si>
  <si>
    <t>Doug Lamborn</t>
  </si>
  <si>
    <t>Mike Coffman</t>
  </si>
  <si>
    <t>Ed Perlmutter</t>
  </si>
  <si>
    <t>John Larson</t>
  </si>
  <si>
    <t>Joe Courtney</t>
  </si>
  <si>
    <t>Rosa DeLauro</t>
  </si>
  <si>
    <t>Jim Himes</t>
  </si>
  <si>
    <t>Elizabeth Esty</t>
  </si>
  <si>
    <t>John Carney</t>
  </si>
  <si>
    <t>Jeff Miller</t>
  </si>
  <si>
    <t>Ted Yoho</t>
  </si>
  <si>
    <t>Ander Crenshaw</t>
  </si>
  <si>
    <t>Corrine Brown</t>
  </si>
  <si>
    <t>Ron DeSantis</t>
  </si>
  <si>
    <t>John Mica</t>
  </si>
  <si>
    <t>Bill Posey</t>
  </si>
  <si>
    <t>Alan Grayson</t>
  </si>
  <si>
    <t>Daniel Webster</t>
  </si>
  <si>
    <t>Richard Nugent</t>
  </si>
  <si>
    <t>Gus Bilirakis</t>
  </si>
  <si>
    <t>Kathy Castor</t>
  </si>
  <si>
    <t>Dennis Ross</t>
  </si>
  <si>
    <t>Vern Buchanan</t>
  </si>
  <si>
    <t>Tom Rooney</t>
  </si>
  <si>
    <t>Patrick Murphy</t>
  </si>
  <si>
    <t>Alcee Hastings</t>
  </si>
  <si>
    <t>Ted Deutch</t>
  </si>
  <si>
    <t>Lois Frankel</t>
  </si>
  <si>
    <t>Debbie Wasserman Schultz</t>
  </si>
  <si>
    <t>Frederica Wilson</t>
  </si>
  <si>
    <t>Sanford Bishop</t>
  </si>
  <si>
    <t>Lynn Westmoreland</t>
  </si>
  <si>
    <t>Hank Johnson</t>
  </si>
  <si>
    <t>John Lewis</t>
  </si>
  <si>
    <t>Tom Price</t>
  </si>
  <si>
    <t>Rob Woodall</t>
  </si>
  <si>
    <t>Austin Scott</t>
  </si>
  <si>
    <t>Doug Collins</t>
  </si>
  <si>
    <t>David Scott</t>
  </si>
  <si>
    <t>Tom Graves</t>
  </si>
  <si>
    <t>Tulsi Gabbard</t>
  </si>
  <si>
    <t>Raul Labrador</t>
  </si>
  <si>
    <t>Mike Simpson</t>
  </si>
  <si>
    <t>Bobby Rush</t>
  </si>
  <si>
    <t>Dan Lipinski</t>
  </si>
  <si>
    <t>Luis Gutierrez</t>
  </si>
  <si>
    <t>Mike Quigley</t>
  </si>
  <si>
    <t>Peter Roskam</t>
  </si>
  <si>
    <t>Danny Davis</t>
  </si>
  <si>
    <t>Tammy Duckworth</t>
  </si>
  <si>
    <t>Jan Schakowsky</t>
  </si>
  <si>
    <t>Bill Foster</t>
  </si>
  <si>
    <t>Rodney Davis</t>
  </si>
  <si>
    <t>Randy Hultgren</t>
  </si>
  <si>
    <t>John Shimkus</t>
  </si>
  <si>
    <t>Adam Kinzinger</t>
  </si>
  <si>
    <t>Cheri Bustos</t>
  </si>
  <si>
    <t>Aaron Schock</t>
  </si>
  <si>
    <t>Peter Visclosky</t>
  </si>
  <si>
    <t>Jackie Walorski</t>
  </si>
  <si>
    <t>Marlin Stutzman</t>
  </si>
  <si>
    <t>Todd Rokita</t>
  </si>
  <si>
    <t>Susan Brooks</t>
  </si>
  <si>
    <t>Luke Messer</t>
  </si>
  <si>
    <t>Andre Carson</t>
  </si>
  <si>
    <t>Larry Bucshon</t>
  </si>
  <si>
    <t>Todd Young</t>
  </si>
  <si>
    <t>Dave Loebsack</t>
  </si>
  <si>
    <t>Steve King</t>
  </si>
  <si>
    <t>Tim Huelskamp</t>
  </si>
  <si>
    <t>Lynn Jenkins</t>
  </si>
  <si>
    <t>Kevin Yoder</t>
  </si>
  <si>
    <t>Mike Pompeo</t>
  </si>
  <si>
    <t>Ed Whitfield</t>
  </si>
  <si>
    <t>Brett Guthrie</t>
  </si>
  <si>
    <t>John Yarmuth</t>
  </si>
  <si>
    <t>Thomas Massie</t>
  </si>
  <si>
    <t>Hal Rogers</t>
  </si>
  <si>
    <t>Andy Barr</t>
  </si>
  <si>
    <t>Steve Scalise</t>
  </si>
  <si>
    <t>Cedric Richmond</t>
  </si>
  <si>
    <t>Charles Boustany</t>
  </si>
  <si>
    <t>John Fleming</t>
  </si>
  <si>
    <t>Chellie Pingree</t>
  </si>
  <si>
    <t>Andy Harris</t>
  </si>
  <si>
    <t>Dutch Ruppersberger</t>
  </si>
  <si>
    <t>John Sarbanes</t>
  </si>
  <si>
    <t>Donna Edwards</t>
  </si>
  <si>
    <t>Steny Hoyer</t>
  </si>
  <si>
    <t>John Delaney</t>
  </si>
  <si>
    <t>Elijah Cummings</t>
  </si>
  <si>
    <t>Chris Van Hollen</t>
  </si>
  <si>
    <t>Richard Neal</t>
  </si>
  <si>
    <t>Jim McGovern</t>
  </si>
  <si>
    <t>Niki Tsongas</t>
  </si>
  <si>
    <t>Joe Kennedy</t>
  </si>
  <si>
    <t>Mike Capuano</t>
  </si>
  <si>
    <t>Stephen Lynch</t>
  </si>
  <si>
    <t>Bill Keating</t>
  </si>
  <si>
    <t>Dan Benishek</t>
  </si>
  <si>
    <t>Bill Huizenga</t>
  </si>
  <si>
    <t>Justin Amash</t>
  </si>
  <si>
    <t>Daniel Kildee</t>
  </si>
  <si>
    <t>Fred Upton</t>
  </si>
  <si>
    <t>Tim Walberg</t>
  </si>
  <si>
    <t>Sander Levin</t>
  </si>
  <si>
    <t>Candice Miller</t>
  </si>
  <si>
    <t>John Conyers</t>
  </si>
  <si>
    <t>Tim Walz</t>
  </si>
  <si>
    <t>John Kline</t>
  </si>
  <si>
    <t>Erik Paulsen</t>
  </si>
  <si>
    <t>Betty Mccollum</t>
  </si>
  <si>
    <t>Keith Ellison</t>
  </si>
  <si>
    <t>Collin C. Peterson</t>
  </si>
  <si>
    <t>Richard Nolan</t>
  </si>
  <si>
    <t>Alan Nunnelee</t>
  </si>
  <si>
    <t>Bennie Thompson</t>
  </si>
  <si>
    <t>Gregg Harper</t>
  </si>
  <si>
    <t>Steven Palazzo</t>
  </si>
  <si>
    <t>Lacy Clay</t>
  </si>
  <si>
    <t>Ann Wagner</t>
  </si>
  <si>
    <t>Blaine Luetkemeyer</t>
  </si>
  <si>
    <t>Vicky Hartzler</t>
  </si>
  <si>
    <t>Emanuel Cleaver</t>
  </si>
  <si>
    <t>Sam Graves</t>
  </si>
  <si>
    <t>Billy Long</t>
  </si>
  <si>
    <t>Jeff Fortenberry</t>
  </si>
  <si>
    <t>Adrian Smith</t>
  </si>
  <si>
    <t>Dina Titus</t>
  </si>
  <si>
    <t>Mark Amodei</t>
  </si>
  <si>
    <t>Joe Heck</t>
  </si>
  <si>
    <t>Ann Kuster</t>
  </si>
  <si>
    <t>Frank LoBiondo</t>
  </si>
  <si>
    <t>Chris Smith</t>
  </si>
  <si>
    <t>Scott Garrett</t>
  </si>
  <si>
    <t>Frank Pallone</t>
  </si>
  <si>
    <t>Leonard Lance</t>
  </si>
  <si>
    <t>Albio Sires</t>
  </si>
  <si>
    <t>Bill Pascrell</t>
  </si>
  <si>
    <t>Donald Payne Jr.</t>
  </si>
  <si>
    <t>Rodney Frelinghuysen</t>
  </si>
  <si>
    <t>Michelle Lujan Grisham</t>
  </si>
  <si>
    <t>Steve Pearce</t>
  </si>
  <si>
    <t>Ben R. Lujan</t>
  </si>
  <si>
    <t>Peter King</t>
  </si>
  <si>
    <t>Steve Israel</t>
  </si>
  <si>
    <t>Gregory Meeks</t>
  </si>
  <si>
    <t>Grace Meng</t>
  </si>
  <si>
    <t>Nydia Velazquez</t>
  </si>
  <si>
    <t>Hakeem Jeffries</t>
  </si>
  <si>
    <t>Yvette Clarke</t>
  </si>
  <si>
    <t>Jerrold Nadler</t>
  </si>
  <si>
    <t>Mike Grimm</t>
  </si>
  <si>
    <t>Carolyn Maloney</t>
  </si>
  <si>
    <t>Charles Rangel</t>
  </si>
  <si>
    <t>Joe Crowley</t>
  </si>
  <si>
    <t>Jose E. Serrano</t>
  </si>
  <si>
    <t>Eliot Engel</t>
  </si>
  <si>
    <t>Nita Lowey</t>
  </si>
  <si>
    <t>Sean Patrick Maloney</t>
  </si>
  <si>
    <t>Christopher Gibson</t>
  </si>
  <si>
    <t>Paul Tonko</t>
  </si>
  <si>
    <t>Richard Hanna</t>
  </si>
  <si>
    <t>Thomas Reed</t>
  </si>
  <si>
    <t>Louise Slaughter</t>
  </si>
  <si>
    <t>Brian Higgins</t>
  </si>
  <si>
    <t>Chris Collins</t>
  </si>
  <si>
    <t>G.K. Butterfield</t>
  </si>
  <si>
    <t>Renee Ellmers</t>
  </si>
  <si>
    <t>Walter Jones</t>
  </si>
  <si>
    <t>David Price</t>
  </si>
  <si>
    <t>Virginia Foxx</t>
  </si>
  <si>
    <t>Richard Hudson</t>
  </si>
  <si>
    <t>Robert Pittenger</t>
  </si>
  <si>
    <t>Patrick McHenry</t>
  </si>
  <si>
    <t>Mark Meadows</t>
  </si>
  <si>
    <t>George Holding</t>
  </si>
  <si>
    <t>Kevin Cramer</t>
  </si>
  <si>
    <t>Steve Chabot</t>
  </si>
  <si>
    <t>Brad Wenstrup</t>
  </si>
  <si>
    <t>Joyce Beatty</t>
  </si>
  <si>
    <t>Jim Jordan</t>
  </si>
  <si>
    <t>Bob Latta</t>
  </si>
  <si>
    <t>Bill Johnson</t>
  </si>
  <si>
    <t>Bob Gibbs</t>
  </si>
  <si>
    <t>John Boehner</t>
  </si>
  <si>
    <t>Marcy Kaptur</t>
  </si>
  <si>
    <t>Mike Turner</t>
  </si>
  <si>
    <t>Marcia Fudge</t>
  </si>
  <si>
    <t>Pat Tiberi</t>
  </si>
  <si>
    <t>Tim Ryan</t>
  </si>
  <si>
    <t>David Joyce</t>
  </si>
  <si>
    <t>Steve Stivers</t>
  </si>
  <si>
    <t>Jim Renacci</t>
  </si>
  <si>
    <t>Jim Bridenstine</t>
  </si>
  <si>
    <t>Markwayne Mullin</t>
  </si>
  <si>
    <t>Frank Lucas</t>
  </si>
  <si>
    <t>Tom Cole</t>
  </si>
  <si>
    <t>Suzanne Bonamici</t>
  </si>
  <si>
    <t>Greg Walden</t>
  </si>
  <si>
    <t>Earl Blumenauer</t>
  </si>
  <si>
    <t>Peter DeFazio</t>
  </si>
  <si>
    <t>Kurt Schrader</t>
  </si>
  <si>
    <t>Robert Brady</t>
  </si>
  <si>
    <t>Chaka Fattah</t>
  </si>
  <si>
    <t>Mike Kelly</t>
  </si>
  <si>
    <t>Scott Perry</t>
  </si>
  <si>
    <t>Glenn Thompson</t>
  </si>
  <si>
    <t>Patrick Meehan</t>
  </si>
  <si>
    <t>Mike Fitzpatrick</t>
  </si>
  <si>
    <t>Bill Shuster</t>
  </si>
  <si>
    <t>Thomas Marino</t>
  </si>
  <si>
    <t>Lou Barletta</t>
  </si>
  <si>
    <t>Keith Rothfus</t>
  </si>
  <si>
    <t>Mike Doyle</t>
  </si>
  <si>
    <t>Charles Dent</t>
  </si>
  <si>
    <t>Joseph Pitts</t>
  </si>
  <si>
    <t>Matthew Cartwright</t>
  </si>
  <si>
    <t>Tim Murphy</t>
  </si>
  <si>
    <t>David Cicilline</t>
  </si>
  <si>
    <t>Jim Langevin</t>
  </si>
  <si>
    <t>Joe Wilson</t>
  </si>
  <si>
    <t>Jeff Duncan</t>
  </si>
  <si>
    <t>Trey Gowdy</t>
  </si>
  <si>
    <t>Mick Mulvaney</t>
  </si>
  <si>
    <t>Jim Clyburn</t>
  </si>
  <si>
    <t>Tom Rice</t>
  </si>
  <si>
    <t>Kristi Noem</t>
  </si>
  <si>
    <t>Phil Roe</t>
  </si>
  <si>
    <t>John Duncan</t>
  </si>
  <si>
    <t>Chuck Fleischmann</t>
  </si>
  <si>
    <t>Scott DesJarlais</t>
  </si>
  <si>
    <t>Jim Cooper</t>
  </si>
  <si>
    <t>Diane Black</t>
  </si>
  <si>
    <t>Marsha Blackburn</t>
  </si>
  <si>
    <t>Stephen Fincher</t>
  </si>
  <si>
    <t>Steve Cohen</t>
  </si>
  <si>
    <t>Louie Gohmert</t>
  </si>
  <si>
    <t>Ted Poe</t>
  </si>
  <si>
    <t>Sam Johnson</t>
  </si>
  <si>
    <t>Jeb Hensarling</t>
  </si>
  <si>
    <t>Joe Barton</t>
  </si>
  <si>
    <t>John Culberson</t>
  </si>
  <si>
    <t>Kevin Brady</t>
  </si>
  <si>
    <t>Al Green</t>
  </si>
  <si>
    <t>Michael McCaul</t>
  </si>
  <si>
    <t>Mike Conaway</t>
  </si>
  <si>
    <t>Kay Granger</t>
  </si>
  <si>
    <t>Mac Thornberry</t>
  </si>
  <si>
    <t>Randy Weber</t>
  </si>
  <si>
    <t>Ruben Hinojosa</t>
  </si>
  <si>
    <t>Beto O'Rourke</t>
  </si>
  <si>
    <t>Bill Flores</t>
  </si>
  <si>
    <t>Sheila Jackson Lee</t>
  </si>
  <si>
    <t>Randy Neugebauer</t>
  </si>
  <si>
    <t>Joaquin Castro</t>
  </si>
  <si>
    <t>Lamar Smith</t>
  </si>
  <si>
    <t>Pete Olson</t>
  </si>
  <si>
    <t>Kenny Marchant</t>
  </si>
  <si>
    <t>Roger Williams</t>
  </si>
  <si>
    <t>Michael Burgess</t>
  </si>
  <si>
    <t>Blake Farenthold</t>
  </si>
  <si>
    <t>Henry Cuellar</t>
  </si>
  <si>
    <t>Gene Green</t>
  </si>
  <si>
    <t>Eddie Bernice Johnson</t>
  </si>
  <si>
    <t>John Carter</t>
  </si>
  <si>
    <t>Pete Sessions</t>
  </si>
  <si>
    <t>Marc Veasey</t>
  </si>
  <si>
    <t>Filemon Vela</t>
  </si>
  <si>
    <t>Lloyd Doggett</t>
  </si>
  <si>
    <t>Rob Bishop</t>
  </si>
  <si>
    <t>Chris Stewart</t>
  </si>
  <si>
    <t>Jason Chaffetz</t>
  </si>
  <si>
    <t>Peter Welch</t>
  </si>
  <si>
    <t>Rob Wittman</t>
  </si>
  <si>
    <t>Scott Rigell</t>
  </si>
  <si>
    <t>Bobby Scott</t>
  </si>
  <si>
    <t>Randy Forbes</t>
  </si>
  <si>
    <t>Robert Hurt</t>
  </si>
  <si>
    <t>Bob Goodlatte</t>
  </si>
  <si>
    <t>Morgan Griffith</t>
  </si>
  <si>
    <t>Gerry Connolly</t>
  </si>
  <si>
    <t>Suzan DelBene</t>
  </si>
  <si>
    <t>Rick Larsen</t>
  </si>
  <si>
    <t>Jaime Herrera Beutler</t>
  </si>
  <si>
    <t>Cathy McMorris Rodgers</t>
  </si>
  <si>
    <t>Derek Kilmer</t>
  </si>
  <si>
    <t>Jim McDermott</t>
  </si>
  <si>
    <t>Dave Reichert</t>
  </si>
  <si>
    <t>Adam Smith</t>
  </si>
  <si>
    <t>Denny Heck</t>
  </si>
  <si>
    <t>David McKinley</t>
  </si>
  <si>
    <t>Paul Ryan</t>
  </si>
  <si>
    <t>Mark Pocan</t>
  </si>
  <si>
    <t>Ron Kind</t>
  </si>
  <si>
    <t>Gwen Moore</t>
  </si>
  <si>
    <t>Jim Sensenbrenner</t>
  </si>
  <si>
    <t>Sean Duffy</t>
  </si>
  <si>
    <t>Reid Ribble</t>
  </si>
  <si>
    <t>Cynthia Lummis</t>
  </si>
  <si>
    <t>Lucille Roybal-Allard</t>
  </si>
  <si>
    <t>Ileana Ros-Lehtinen</t>
  </si>
  <si>
    <t>NH-Yes</t>
  </si>
  <si>
    <t>Mario Diaz-Balart</t>
  </si>
  <si>
    <t>"Top of Ticket turnout" refers to statewide turnout in highest-ticket race (president in 2012).</t>
  </si>
  <si>
    <t>Dem2</t>
  </si>
  <si>
    <t>Rep2</t>
  </si>
  <si>
    <t>District</t>
  </si>
  <si>
    <t>Bradley Byrne</t>
  </si>
  <si>
    <t>Gary Palmer</t>
  </si>
  <si>
    <t>Martha McSally</t>
  </si>
  <si>
    <t>Ruben Gallego</t>
  </si>
  <si>
    <t>J. French Hill</t>
  </si>
  <si>
    <t>Bruce Westerman</t>
  </si>
  <si>
    <t>Mark DeSaulnier</t>
  </si>
  <si>
    <t>Steve Knight</t>
  </si>
  <si>
    <t>Pete Aguilar</t>
  </si>
  <si>
    <t>Ted Lieu</t>
  </si>
  <si>
    <t>Norma Torres</t>
  </si>
  <si>
    <t>Mimi Walters</t>
  </si>
  <si>
    <t>Ken Buck</t>
  </si>
  <si>
    <t>Gwen Graham</t>
  </si>
  <si>
    <t>David Jolly</t>
  </si>
  <si>
    <t>Curt Clawson</t>
  </si>
  <si>
    <t>Carlos Curbelo</t>
  </si>
  <si>
    <t>Earl "Buddy" Carter</t>
  </si>
  <si>
    <t>Jody Hice</t>
  </si>
  <si>
    <t>Barry Loudermilk</t>
  </si>
  <si>
    <t>Rick Allen</t>
  </si>
  <si>
    <t>Mark Takai</t>
  </si>
  <si>
    <t>Robin Kelly</t>
  </si>
  <si>
    <t>Robert Dold</t>
  </si>
  <si>
    <t>Mike Bost</t>
  </si>
  <si>
    <t>Rod Blum</t>
  </si>
  <si>
    <t>David Young</t>
  </si>
  <si>
    <t>Ralp Abraham</t>
  </si>
  <si>
    <t>Garret Graves</t>
  </si>
  <si>
    <t>Bruce Poliquin</t>
  </si>
  <si>
    <t>Katherine Clark</t>
  </si>
  <si>
    <t>Seth Moulton</t>
  </si>
  <si>
    <t>John Moolenaar</t>
  </si>
  <si>
    <t>Mike Bishop</t>
  </si>
  <si>
    <t>Dave Trott</t>
  </si>
  <si>
    <t>Debbie Dingell</t>
  </si>
  <si>
    <t>Brenda Lawrence</t>
  </si>
  <si>
    <t>Tom Emmer</t>
  </si>
  <si>
    <t>Jason Smith</t>
  </si>
  <si>
    <t>Ryan Zinke</t>
  </si>
  <si>
    <t>Brad Ashford</t>
  </si>
  <si>
    <t>Cresent Hardy</t>
  </si>
  <si>
    <t>Frank Guinta</t>
  </si>
  <si>
    <t>Donald Norcross</t>
  </si>
  <si>
    <t>Tom MacArthur</t>
  </si>
  <si>
    <t>Bonnie Watson Coleman</t>
  </si>
  <si>
    <t>Lee Zeldin</t>
  </si>
  <si>
    <t>Kathleen Rice</t>
  </si>
  <si>
    <t>Elise Stefanik</t>
  </si>
  <si>
    <t>John Katko</t>
  </si>
  <si>
    <t>Mark Walker</t>
  </si>
  <si>
    <t>David Rouzer</t>
  </si>
  <si>
    <t>Alma Adams</t>
  </si>
  <si>
    <t>Steve Russell</t>
  </si>
  <si>
    <t>Ryan Costello</t>
  </si>
  <si>
    <t>Brendan Boyle</t>
  </si>
  <si>
    <t>Mark Sanford</t>
  </si>
  <si>
    <t>John Ratcliffe</t>
  </si>
  <si>
    <t>Will Hurd</t>
  </si>
  <si>
    <t>Brian Babin</t>
  </si>
  <si>
    <t>Mia Love</t>
  </si>
  <si>
    <t>Dave Brat</t>
  </si>
  <si>
    <t>Donald "Don" S. Beyer Jr.</t>
  </si>
  <si>
    <t>Barbara Comstock</t>
  </si>
  <si>
    <t>Dan Newhouse</t>
  </si>
  <si>
    <t>Alex Mooney</t>
  </si>
  <si>
    <t>Evan Jenkins</t>
  </si>
  <si>
    <t>Glenn Grothman</t>
  </si>
  <si>
    <t>Il-Yes</t>
  </si>
  <si>
    <t>UT-Yes</t>
  </si>
  <si>
    <t xml:space="preserve">Oklahoma (district 1) were not listed on the ballot, so voters were not able to cast votes for them.  </t>
  </si>
  <si>
    <t xml:space="preserve">NOTE:  Candidates in uncontested US House races in Florida (districts 12, 14, 25, &amp; 27) and  </t>
  </si>
  <si>
    <t>Dubious Democracy 2014 Report</t>
  </si>
  <si>
    <t>The VEP and top ticket turnout is taken from http://www.electproject.org/2014g. For more information</t>
  </si>
  <si>
    <t xml:space="preserve">Top ticket turnout in a non-presidential election year is the largest vote total for a statewide office.  When no </t>
  </si>
  <si>
    <t>see Michael McDonald's notes at http://www.electproject.org/home/voter-turnout/faq.</t>
  </si>
  <si>
    <t>this is simply the presidential vote.  See also http://www.electproject.org/home/voter-turnout/faq.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</si>
</sst>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  <numFmt numFmtId="167" formatCode="dd\-mmm\-yy"/>
  </numFmts>
  <fonts count="25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i/>
      <sz val="10"/>
      <name val="Arial"/>
      <family val="2"/>
    </font>
    <font>
      <u/>
      <sz val="10"/>
      <color indexed="12"/>
      <name val="Arial"/>
      <family val="2"/>
    </font>
    <font>
      <b/>
      <sz val="14"/>
      <color indexed="9"/>
      <name val="Geneva"/>
    </font>
    <font>
      <sz val="9"/>
      <color indexed="9"/>
      <name val="Geneva"/>
    </font>
    <font>
      <sz val="18"/>
      <color indexed="9"/>
      <name val="Geneva"/>
    </font>
    <font>
      <sz val="10"/>
      <name val="Arial"/>
      <family val="2"/>
    </font>
    <font>
      <sz val="12"/>
      <color indexed="54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u/>
      <sz val="10"/>
      <color indexed="54"/>
      <name val="Arial"/>
      <family val="2"/>
    </font>
    <font>
      <sz val="10"/>
      <color rgb="FF000000"/>
      <name val="Arial"/>
      <family val="2"/>
    </font>
    <font>
      <sz val="12"/>
      <color theme="1"/>
      <name val="Times New Roman"/>
      <family val="1"/>
    </font>
    <font>
      <sz val="12"/>
      <name val="Cambria"/>
      <family val="1"/>
    </font>
    <font>
      <sz val="11"/>
      <name val="Cambria"/>
      <family val="1"/>
    </font>
    <font>
      <sz val="10"/>
      <name val="Cambria"/>
      <family val="1"/>
    </font>
    <font>
      <b/>
      <sz val="1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9"/>
        <bgColor indexed="64"/>
      </patternFill>
    </fill>
  </fills>
  <borders count="4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8" fillId="0" borderId="0">
      <protection locked="0"/>
    </xf>
    <xf numFmtId="43" fontId="1" fillId="0" borderId="0" applyFont="0" applyFill="0" applyBorder="0" applyAlignment="0" applyProtection="0"/>
    <xf numFmtId="0" fontId="10" fillId="0" borderId="0">
      <protection locked="0"/>
    </xf>
    <xf numFmtId="0" fontId="10" fillId="0" borderId="0">
      <protection locked="0"/>
    </xf>
    <xf numFmtId="0" fontId="9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444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4" fontId="3" fillId="0" borderId="0" xfId="2" applyNumberFormat="1" applyFont="1" applyAlignment="1">
      <alignment horizontal="right"/>
    </xf>
    <xf numFmtId="165" fontId="3" fillId="0" borderId="0" xfId="10" applyNumberFormat="1" applyFont="1"/>
    <xf numFmtId="1" fontId="3" fillId="0" borderId="0" xfId="0" applyNumberFormat="1" applyFont="1"/>
    <xf numFmtId="43" fontId="3" fillId="0" borderId="0" xfId="0" applyNumberFormat="1" applyFont="1"/>
    <xf numFmtId="0" fontId="3" fillId="0" borderId="0" xfId="0" applyFont="1"/>
    <xf numFmtId="0" fontId="2" fillId="0" borderId="0" xfId="0" applyFont="1"/>
    <xf numFmtId="165" fontId="3" fillId="0" borderId="0" xfId="0" applyNumberFormat="1" applyFont="1"/>
    <xf numFmtId="0" fontId="3" fillId="0" borderId="0" xfId="0" applyFont="1" applyAlignment="1">
      <alignment horizontal="center"/>
    </xf>
    <xf numFmtId="17" fontId="3" fillId="0" borderId="0" xfId="0" applyNumberFormat="1" applyFont="1"/>
    <xf numFmtId="0" fontId="2" fillId="0" borderId="1" xfId="0" applyFont="1" applyBorder="1"/>
    <xf numFmtId="0" fontId="3" fillId="0" borderId="2" xfId="0" applyFont="1" applyBorder="1"/>
    <xf numFmtId="0" fontId="2" fillId="0" borderId="3" xfId="0" applyFont="1" applyBorder="1"/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2" fillId="0" borderId="0" xfId="0" applyFont="1" applyFill="1" applyAlignment="1">
      <alignment horizontal="left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3" fillId="0" borderId="0" xfId="0" applyFont="1" applyFill="1" applyBorder="1"/>
    <xf numFmtId="165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0" fontId="3" fillId="0" borderId="11" xfId="0" applyFont="1" applyFill="1" applyBorder="1" applyAlignment="1"/>
    <xf numFmtId="0" fontId="3" fillId="0" borderId="0" xfId="0" applyFont="1" applyFill="1" applyBorder="1" applyAlignment="1"/>
    <xf numFmtId="0" fontId="2" fillId="2" borderId="7" xfId="0" applyFont="1" applyFill="1" applyBorder="1" applyAlignment="1">
      <alignment horizontal="center"/>
    </xf>
    <xf numFmtId="165" fontId="3" fillId="0" borderId="0" xfId="0" applyNumberFormat="1" applyFont="1" applyBorder="1" applyAlignment="1">
      <alignment horizontal="right"/>
    </xf>
    <xf numFmtId="0" fontId="2" fillId="2" borderId="12" xfId="0" applyFont="1" applyFill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165" fontId="3" fillId="0" borderId="0" xfId="10" applyNumberFormat="1" applyFont="1" applyBorder="1" applyAlignment="1">
      <alignment horizontal="right"/>
    </xf>
    <xf numFmtId="164" fontId="2" fillId="0" borderId="14" xfId="2" applyNumberFormat="1" applyFont="1" applyBorder="1" applyAlignment="1">
      <alignment horizontal="center"/>
    </xf>
    <xf numFmtId="165" fontId="2" fillId="0" borderId="15" xfId="0" applyNumberFormat="1" applyFont="1" applyBorder="1" applyAlignment="1">
      <alignment horizontal="right"/>
    </xf>
    <xf numFmtId="165" fontId="2" fillId="0" borderId="15" xfId="0" applyNumberFormat="1" applyFont="1" applyBorder="1" applyAlignment="1">
      <alignment horizontal="right" vertical="center"/>
    </xf>
    <xf numFmtId="165" fontId="3" fillId="0" borderId="16" xfId="0" applyNumberFormat="1" applyFont="1" applyBorder="1" applyAlignment="1">
      <alignment horizontal="right"/>
    </xf>
    <xf numFmtId="1" fontId="2" fillId="0" borderId="15" xfId="0" applyNumberFormat="1" applyFont="1" applyFill="1" applyBorder="1" applyAlignment="1">
      <alignment horizontal="center"/>
    </xf>
    <xf numFmtId="1" fontId="2" fillId="0" borderId="17" xfId="0" applyNumberFormat="1" applyFont="1" applyFill="1" applyBorder="1" applyAlignment="1">
      <alignment horizontal="center"/>
    </xf>
    <xf numFmtId="165" fontId="2" fillId="0" borderId="18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right"/>
    </xf>
    <xf numFmtId="0" fontId="2" fillId="2" borderId="12" xfId="0" applyFont="1" applyFill="1" applyBorder="1" applyAlignment="1">
      <alignment horizontal="center"/>
    </xf>
    <xf numFmtId="1" fontId="2" fillId="0" borderId="19" xfId="0" applyNumberFormat="1" applyFont="1" applyFill="1" applyBorder="1" applyAlignment="1">
      <alignment horizontal="center"/>
    </xf>
    <xf numFmtId="165" fontId="2" fillId="0" borderId="15" xfId="0" applyNumberFormat="1" applyFont="1" applyBorder="1" applyAlignment="1">
      <alignment horizontal="center"/>
    </xf>
    <xf numFmtId="3" fontId="2" fillId="0" borderId="15" xfId="0" applyNumberFormat="1" applyFont="1" applyBorder="1" applyAlignment="1">
      <alignment horizontal="right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5" fontId="2" fillId="2" borderId="12" xfId="0" applyNumberFormat="1" applyFont="1" applyFill="1" applyBorder="1" applyAlignment="1">
      <alignment horizontal="center"/>
    </xf>
    <xf numFmtId="3" fontId="3" fillId="0" borderId="20" xfId="0" applyNumberFormat="1" applyFont="1" applyBorder="1" applyAlignment="1">
      <alignment horizontal="right"/>
    </xf>
    <xf numFmtId="3" fontId="2" fillId="0" borderId="17" xfId="0" applyNumberFormat="1" applyFont="1" applyBorder="1" applyAlignment="1">
      <alignment horizontal="right"/>
    </xf>
    <xf numFmtId="0" fontId="2" fillId="2" borderId="9" xfId="0" applyFont="1" applyFill="1" applyBorder="1" applyAlignment="1">
      <alignment horizontal="right"/>
    </xf>
    <xf numFmtId="0" fontId="2" fillId="0" borderId="14" xfId="0" applyFont="1" applyBorder="1"/>
    <xf numFmtId="3" fontId="2" fillId="0" borderId="17" xfId="0" applyNumberFormat="1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165" fontId="3" fillId="0" borderId="16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5" fontId="2" fillId="2" borderId="7" xfId="0" applyNumberFormat="1" applyFont="1" applyFill="1" applyBorder="1" applyAlignment="1">
      <alignment horizontal="center"/>
    </xf>
    <xf numFmtId="0" fontId="2" fillId="0" borderId="0" xfId="0" applyFont="1" applyFill="1" applyBorder="1"/>
    <xf numFmtId="1" fontId="3" fillId="0" borderId="0" xfId="0" applyNumberFormat="1" applyFont="1" applyFill="1" applyBorder="1"/>
    <xf numFmtId="165" fontId="2" fillId="0" borderId="0" xfId="0" applyNumberFormat="1" applyFont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 vertical="center"/>
    </xf>
    <xf numFmtId="165" fontId="3" fillId="0" borderId="0" xfId="10" applyNumberFormat="1" applyFont="1" applyBorder="1" applyAlignment="1">
      <alignment horizontal="center"/>
    </xf>
    <xf numFmtId="165" fontId="2" fillId="2" borderId="10" xfId="0" applyNumberFormat="1" applyFont="1" applyFill="1" applyBorder="1" applyAlignment="1">
      <alignment horizontal="right"/>
    </xf>
    <xf numFmtId="166" fontId="3" fillId="0" borderId="0" xfId="0" applyNumberFormat="1" applyFont="1" applyBorder="1" applyAlignment="1">
      <alignment horizontal="center"/>
    </xf>
    <xf numFmtId="166" fontId="3" fillId="0" borderId="11" xfId="0" applyNumberFormat="1" applyFont="1" applyBorder="1" applyAlignment="1">
      <alignment horizontal="center"/>
    </xf>
    <xf numFmtId="1" fontId="3" fillId="0" borderId="21" xfId="0" applyNumberFormat="1" applyFont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5" fontId="3" fillId="0" borderId="21" xfId="0" applyNumberFormat="1" applyFont="1" applyBorder="1" applyAlignment="1">
      <alignment horizontal="center"/>
    </xf>
    <xf numFmtId="165" fontId="2" fillId="0" borderId="22" xfId="0" applyNumberFormat="1" applyFont="1" applyBorder="1" applyAlignment="1">
      <alignment horizontal="center"/>
    </xf>
    <xf numFmtId="164" fontId="2" fillId="0" borderId="15" xfId="2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65" fontId="2" fillId="0" borderId="19" xfId="0" applyNumberFormat="1" applyFont="1" applyBorder="1" applyAlignment="1">
      <alignment horizontal="right"/>
    </xf>
    <xf numFmtId="0" fontId="3" fillId="0" borderId="0" xfId="0" quotePrefix="1" applyFont="1"/>
    <xf numFmtId="0" fontId="4" fillId="0" borderId="0" xfId="0" applyFont="1"/>
    <xf numFmtId="0" fontId="6" fillId="0" borderId="0" xfId="0" applyFont="1" applyBorder="1"/>
    <xf numFmtId="0" fontId="5" fillId="0" borderId="0" xfId="0" applyFont="1" applyBorder="1"/>
    <xf numFmtId="0" fontId="2" fillId="0" borderId="15" xfId="0" applyFont="1" applyBorder="1"/>
    <xf numFmtId="0" fontId="3" fillId="0" borderId="23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6" fontId="3" fillId="0" borderId="1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9" xfId="0" applyFont="1" applyFill="1" applyBorder="1" applyAlignment="1">
      <alignment horizontal="left"/>
    </xf>
    <xf numFmtId="165" fontId="2" fillId="0" borderId="18" xfId="10" applyNumberFormat="1" applyFont="1" applyBorder="1" applyAlignment="1">
      <alignment horizontal="center"/>
    </xf>
    <xf numFmtId="165" fontId="3" fillId="0" borderId="16" xfId="1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65" fontId="2" fillId="0" borderId="23" xfId="0" applyNumberFormat="1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3" xfId="0" applyFont="1" applyFill="1" applyBorder="1"/>
    <xf numFmtId="0" fontId="2" fillId="0" borderId="23" xfId="0" applyFont="1" applyFill="1" applyBorder="1" applyAlignment="1">
      <alignment horizontal="left"/>
    </xf>
    <xf numFmtId="0" fontId="3" fillId="2" borderId="8" xfId="0" applyFont="1" applyFill="1" applyBorder="1"/>
    <xf numFmtId="166" fontId="2" fillId="0" borderId="15" xfId="0" applyNumberFormat="1" applyFont="1" applyBorder="1" applyAlignment="1">
      <alignment horizontal="center"/>
    </xf>
    <xf numFmtId="165" fontId="2" fillId="0" borderId="15" xfId="10" applyNumberFormat="1" applyFont="1" applyBorder="1" applyAlignment="1">
      <alignment horizontal="center"/>
    </xf>
    <xf numFmtId="165" fontId="3" fillId="0" borderId="0" xfId="0" applyNumberFormat="1" applyFont="1" applyBorder="1"/>
    <xf numFmtId="167" fontId="2" fillId="0" borderId="0" xfId="0" applyNumberFormat="1" applyFont="1"/>
    <xf numFmtId="165" fontId="2" fillId="0" borderId="0" xfId="0" applyNumberFormat="1" applyFont="1" applyBorder="1"/>
    <xf numFmtId="165" fontId="2" fillId="0" borderId="0" xfId="0" applyNumberFormat="1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" fillId="0" borderId="16" xfId="0" applyFont="1" applyBorder="1"/>
    <xf numFmtId="0" fontId="2" fillId="0" borderId="16" xfId="0" applyFont="1" applyFill="1" applyBorder="1"/>
    <xf numFmtId="165" fontId="2" fillId="0" borderId="16" xfId="0" applyNumberFormat="1" applyFont="1" applyBorder="1" applyAlignment="1">
      <alignment horizontal="right"/>
    </xf>
    <xf numFmtId="1" fontId="3" fillId="0" borderId="0" xfId="1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" fontId="2" fillId="0" borderId="15" xfId="10" applyNumberFormat="1" applyFont="1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0" fontId="2" fillId="0" borderId="24" xfId="0" applyFont="1" applyFill="1" applyBorder="1" applyAlignment="1">
      <alignment horizontal="left"/>
    </xf>
    <xf numFmtId="166" fontId="3" fillId="0" borderId="25" xfId="0" applyNumberFormat="1" applyFont="1" applyBorder="1" applyAlignment="1">
      <alignment horizontal="center"/>
    </xf>
    <xf numFmtId="165" fontId="3" fillId="0" borderId="25" xfId="10" applyNumberFormat="1" applyFont="1" applyBorder="1" applyAlignment="1">
      <alignment horizontal="center"/>
    </xf>
    <xf numFmtId="165" fontId="3" fillId="0" borderId="26" xfId="0" applyNumberFormat="1" applyFont="1" applyBorder="1" applyAlignment="1">
      <alignment horizontal="center"/>
    </xf>
    <xf numFmtId="1" fontId="3" fillId="0" borderId="25" xfId="0" applyNumberFormat="1" applyFont="1" applyBorder="1" applyAlignment="1">
      <alignment horizontal="center"/>
    </xf>
    <xf numFmtId="1" fontId="3" fillId="0" borderId="25" xfId="10" applyNumberFormat="1" applyFont="1" applyBorder="1" applyAlignment="1">
      <alignment horizontal="center"/>
    </xf>
    <xf numFmtId="1" fontId="3" fillId="0" borderId="26" xfId="0" applyNumberFormat="1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2" fillId="0" borderId="25" xfId="0" applyFont="1" applyFill="1" applyBorder="1" applyAlignment="1">
      <alignment horizontal="left"/>
    </xf>
    <xf numFmtId="166" fontId="3" fillId="0" borderId="26" xfId="0" applyNumberFormat="1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165" fontId="3" fillId="0" borderId="26" xfId="10" applyNumberFormat="1" applyFont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165" fontId="6" fillId="0" borderId="0" xfId="10" applyNumberFormat="1" applyFont="1" applyBorder="1"/>
    <xf numFmtId="3" fontId="2" fillId="0" borderId="19" xfId="0" applyNumberFormat="1" applyFon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right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9" fontId="3" fillId="4" borderId="3" xfId="10" applyFont="1" applyFill="1" applyBorder="1" applyAlignment="1">
      <alignment horizontal="center"/>
    </xf>
    <xf numFmtId="0" fontId="2" fillId="3" borderId="14" xfId="0" applyFont="1" applyFill="1" applyBorder="1"/>
    <xf numFmtId="0" fontId="2" fillId="3" borderId="18" xfId="0" applyFont="1" applyFill="1" applyBorder="1" applyAlignment="1"/>
    <xf numFmtId="0" fontId="2" fillId="3" borderId="6" xfId="0" applyFont="1" applyFill="1" applyBorder="1"/>
    <xf numFmtId="165" fontId="2" fillId="3" borderId="18" xfId="0" applyNumberFormat="1" applyFont="1" applyFill="1" applyBorder="1" applyAlignment="1">
      <alignment horizontal="center"/>
    </xf>
    <xf numFmtId="0" fontId="2" fillId="3" borderId="7" xfId="0" applyFont="1" applyFill="1" applyBorder="1"/>
    <xf numFmtId="165" fontId="2" fillId="3" borderId="7" xfId="0" applyNumberFormat="1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3" borderId="29" xfId="0" applyFont="1" applyFill="1" applyBorder="1" applyAlignment="1"/>
    <xf numFmtId="1" fontId="2" fillId="3" borderId="7" xfId="0" applyNumberFormat="1" applyFont="1" applyFill="1" applyBorder="1"/>
    <xf numFmtId="165" fontId="2" fillId="3" borderId="12" xfId="0" applyNumberFormat="1" applyFont="1" applyFill="1" applyBorder="1" applyAlignment="1">
      <alignment horizontal="center"/>
    </xf>
    <xf numFmtId="3" fontId="2" fillId="3" borderId="30" xfId="0" applyNumberFormat="1" applyFont="1" applyFill="1" applyBorder="1" applyAlignment="1">
      <alignment horizontal="right"/>
    </xf>
    <xf numFmtId="0" fontId="2" fillId="3" borderId="29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29" xfId="0" applyFont="1" applyFill="1" applyBorder="1"/>
    <xf numFmtId="0" fontId="2" fillId="3" borderId="12" xfId="0" applyFont="1" applyFill="1" applyBorder="1"/>
    <xf numFmtId="0" fontId="2" fillId="3" borderId="30" xfId="0" applyFont="1" applyFill="1" applyBorder="1"/>
    <xf numFmtId="0" fontId="2" fillId="3" borderId="31" xfId="0" applyFont="1" applyFill="1" applyBorder="1"/>
    <xf numFmtId="0" fontId="2" fillId="3" borderId="9" xfId="0" applyFont="1" applyFill="1" applyBorder="1" applyAlignment="1">
      <alignment horizontal="center"/>
    </xf>
    <xf numFmtId="0" fontId="2" fillId="3" borderId="32" xfId="0" applyFont="1" applyFill="1" applyBorder="1"/>
    <xf numFmtId="165" fontId="2" fillId="3" borderId="9" xfId="0" applyNumberFormat="1" applyFont="1" applyFill="1" applyBorder="1"/>
    <xf numFmtId="0" fontId="2" fillId="3" borderId="32" xfId="0" applyFont="1" applyFill="1" applyBorder="1" applyAlignment="1">
      <alignment horizontal="center"/>
    </xf>
    <xf numFmtId="0" fontId="2" fillId="3" borderId="33" xfId="0" applyFont="1" applyFill="1" applyBorder="1"/>
    <xf numFmtId="1" fontId="3" fillId="3" borderId="9" xfId="0" applyNumberFormat="1" applyFont="1" applyFill="1" applyBorder="1"/>
    <xf numFmtId="1" fontId="2" fillId="3" borderId="9" xfId="0" applyNumberFormat="1" applyFont="1" applyFill="1" applyBorder="1"/>
    <xf numFmtId="0" fontId="2" fillId="3" borderId="10" xfId="0" applyFont="1" applyFill="1" applyBorder="1" applyAlignment="1">
      <alignment horizontal="center"/>
    </xf>
    <xf numFmtId="3" fontId="2" fillId="3" borderId="34" xfId="0" applyNumberFormat="1" applyFont="1" applyFill="1" applyBorder="1" applyAlignment="1">
      <alignment horizontal="right"/>
    </xf>
    <xf numFmtId="0" fontId="2" fillId="3" borderId="33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33" xfId="0" applyFont="1" applyFill="1" applyBorder="1"/>
    <xf numFmtId="0" fontId="2" fillId="3" borderId="34" xfId="0" applyFont="1" applyFill="1" applyBorder="1"/>
    <xf numFmtId="0" fontId="3" fillId="3" borderId="10" xfId="0" applyFont="1" applyFill="1" applyBorder="1"/>
    <xf numFmtId="0" fontId="2" fillId="3" borderId="35" xfId="0" applyFont="1" applyFill="1" applyBorder="1"/>
    <xf numFmtId="1" fontId="3" fillId="0" borderId="0" xfId="0" applyNumberFormat="1" applyFont="1" applyFill="1" applyBorder="1" applyAlignment="1">
      <alignment horizontal="center"/>
    </xf>
    <xf numFmtId="1" fontId="3" fillId="0" borderId="11" xfId="0" applyNumberFormat="1" applyFont="1" applyFill="1" applyBorder="1" applyAlignment="1">
      <alignment horizontal="center"/>
    </xf>
    <xf numFmtId="166" fontId="3" fillId="0" borderId="11" xfId="0" applyNumberFormat="1" applyFont="1" applyFill="1" applyBorder="1" applyAlignment="1">
      <alignment horizontal="center"/>
    </xf>
    <xf numFmtId="165" fontId="3" fillId="0" borderId="0" xfId="10" applyNumberFormat="1" applyFont="1" applyFill="1" applyBorder="1" applyAlignment="1">
      <alignment horizontal="center"/>
    </xf>
    <xf numFmtId="165" fontId="3" fillId="0" borderId="0" xfId="1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11" xfId="0" applyNumberFormat="1" applyFont="1" applyFill="1" applyBorder="1" applyAlignment="1">
      <alignment horizontal="center"/>
    </xf>
    <xf numFmtId="165" fontId="3" fillId="0" borderId="2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center"/>
    </xf>
    <xf numFmtId="165" fontId="3" fillId="0" borderId="11" xfId="10" applyNumberFormat="1" applyFont="1" applyFill="1" applyBorder="1" applyAlignment="1">
      <alignment horizontal="center"/>
    </xf>
    <xf numFmtId="1" fontId="3" fillId="0" borderId="25" xfId="0" applyNumberFormat="1" applyFont="1" applyFill="1" applyBorder="1" applyAlignment="1">
      <alignment horizontal="center"/>
    </xf>
    <xf numFmtId="1" fontId="3" fillId="0" borderId="25" xfId="10" applyNumberFormat="1" applyFont="1" applyFill="1" applyBorder="1" applyAlignment="1">
      <alignment horizontal="center"/>
    </xf>
    <xf numFmtId="1" fontId="3" fillId="0" borderId="26" xfId="0" applyNumberFormat="1" applyFont="1" applyFill="1" applyBorder="1" applyAlignment="1">
      <alignment horizontal="center"/>
    </xf>
    <xf numFmtId="166" fontId="3" fillId="0" borderId="25" xfId="0" applyNumberFormat="1" applyFont="1" applyFill="1" applyBorder="1" applyAlignment="1">
      <alignment horizontal="center"/>
    </xf>
    <xf numFmtId="165" fontId="3" fillId="0" borderId="25" xfId="10" applyNumberFormat="1" applyFont="1" applyFill="1" applyBorder="1" applyAlignment="1">
      <alignment horizontal="center"/>
    </xf>
    <xf numFmtId="165" fontId="3" fillId="0" borderId="26" xfId="0" applyNumberFormat="1" applyFont="1" applyFill="1" applyBorder="1" applyAlignment="1">
      <alignment horizontal="center"/>
    </xf>
    <xf numFmtId="165" fontId="3" fillId="0" borderId="0" xfId="0" applyNumberFormat="1" applyFont="1" applyFill="1" applyBorder="1"/>
    <xf numFmtId="0" fontId="3" fillId="0" borderId="24" xfId="0" applyFont="1" applyFill="1" applyBorder="1" applyAlignment="1">
      <alignment horizontal="center"/>
    </xf>
    <xf numFmtId="166" fontId="3" fillId="0" borderId="26" xfId="0" applyNumberFormat="1" applyFont="1" applyFill="1" applyBorder="1" applyAlignment="1">
      <alignment horizontal="center"/>
    </xf>
    <xf numFmtId="165" fontId="3" fillId="0" borderId="16" xfId="0" applyNumberFormat="1" applyFont="1" applyFill="1" applyBorder="1" applyAlignment="1">
      <alignment horizontal="right"/>
    </xf>
    <xf numFmtId="0" fontId="3" fillId="0" borderId="25" xfId="0" applyFont="1" applyFill="1" applyBorder="1" applyAlignment="1">
      <alignment horizontal="center"/>
    </xf>
    <xf numFmtId="165" fontId="3" fillId="0" borderId="26" xfId="10" applyNumberFormat="1" applyFont="1" applyFill="1" applyBorder="1" applyAlignment="1">
      <alignment horizontal="center"/>
    </xf>
    <xf numFmtId="1" fontId="3" fillId="0" borderId="0" xfId="0" applyNumberFormat="1" applyFont="1" applyFill="1"/>
    <xf numFmtId="0" fontId="2" fillId="0" borderId="18" xfId="0" applyFont="1" applyFill="1" applyBorder="1" applyAlignment="1"/>
    <xf numFmtId="0" fontId="12" fillId="0" borderId="0" xfId="0" applyFont="1" applyFill="1"/>
    <xf numFmtId="3" fontId="3" fillId="0" borderId="0" xfId="0" applyNumberFormat="1" applyFont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164" fontId="14" fillId="0" borderId="0" xfId="2" applyNumberFormat="1" applyFont="1" applyAlignment="1">
      <alignment horizontal="left"/>
    </xf>
    <xf numFmtId="0" fontId="14" fillId="0" borderId="0" xfId="0" applyFont="1" applyAlignment="1">
      <alignment horizontal="right"/>
    </xf>
    <xf numFmtId="165" fontId="14" fillId="0" borderId="0" xfId="10" applyNumberFormat="1" applyFont="1"/>
    <xf numFmtId="0" fontId="14" fillId="0" borderId="0" xfId="0" applyFont="1"/>
    <xf numFmtId="164" fontId="13" fillId="0" borderId="0" xfId="2" applyNumberFormat="1" applyFont="1" applyAlignment="1">
      <alignment horizontal="left"/>
    </xf>
    <xf numFmtId="0" fontId="13" fillId="3" borderId="8" xfId="0" applyFont="1" applyFill="1" applyBorder="1" applyAlignment="1">
      <alignment horizontal="left"/>
    </xf>
    <xf numFmtId="0" fontId="13" fillId="3" borderId="9" xfId="0" applyFont="1" applyFill="1" applyBorder="1" applyAlignment="1">
      <alignment horizontal="left"/>
    </xf>
    <xf numFmtId="164" fontId="13" fillId="3" borderId="9" xfId="2" applyNumberFormat="1" applyFont="1" applyFill="1" applyBorder="1" applyAlignment="1">
      <alignment horizontal="left"/>
    </xf>
    <xf numFmtId="164" fontId="13" fillId="3" borderId="33" xfId="2" applyNumberFormat="1" applyFont="1" applyFill="1" applyBorder="1" applyAlignment="1">
      <alignment horizontal="left"/>
    </xf>
    <xf numFmtId="0" fontId="13" fillId="3" borderId="9" xfId="0" applyFont="1" applyFill="1" applyBorder="1" applyAlignment="1">
      <alignment horizontal="right"/>
    </xf>
    <xf numFmtId="165" fontId="13" fillId="3" borderId="10" xfId="10" applyNumberFormat="1" applyFont="1" applyFill="1" applyBorder="1" applyAlignment="1">
      <alignment horizontal="center"/>
    </xf>
    <xf numFmtId="0" fontId="13" fillId="3" borderId="8" xfId="0" applyFont="1" applyFill="1" applyBorder="1"/>
    <xf numFmtId="0" fontId="13" fillId="3" borderId="9" xfId="0" applyFont="1" applyFill="1" applyBorder="1"/>
    <xf numFmtId="0" fontId="13" fillId="3" borderId="10" xfId="0" applyFont="1" applyFill="1" applyBorder="1"/>
    <xf numFmtId="0" fontId="13" fillId="3" borderId="6" xfId="0" applyFont="1" applyFill="1" applyBorder="1" applyAlignment="1">
      <alignment horizontal="right"/>
    </xf>
    <xf numFmtId="0" fontId="13" fillId="3" borderId="7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right"/>
    </xf>
    <xf numFmtId="164" fontId="13" fillId="3" borderId="7" xfId="2" applyNumberFormat="1" applyFont="1" applyFill="1" applyBorder="1" applyAlignment="1">
      <alignment horizontal="right"/>
    </xf>
    <xf numFmtId="164" fontId="13" fillId="3" borderId="29" xfId="2" applyNumberFormat="1" applyFont="1" applyFill="1" applyBorder="1" applyAlignment="1">
      <alignment horizontal="right"/>
    </xf>
    <xf numFmtId="0" fontId="13" fillId="3" borderId="7" xfId="0" applyFont="1" applyFill="1" applyBorder="1" applyAlignment="1">
      <alignment horizontal="right"/>
    </xf>
    <xf numFmtId="165" fontId="13" fillId="3" borderId="12" xfId="10" applyNumberFormat="1" applyFont="1" applyFill="1" applyBorder="1" applyAlignment="1">
      <alignment horizontal="center"/>
    </xf>
    <xf numFmtId="0" fontId="13" fillId="3" borderId="6" xfId="0" applyFont="1" applyFill="1" applyBorder="1" applyAlignment="1">
      <alignment horizontal="left"/>
    </xf>
    <xf numFmtId="0" fontId="13" fillId="3" borderId="7" xfId="0" applyFont="1" applyFill="1" applyBorder="1" applyAlignment="1">
      <alignment horizontal="left"/>
    </xf>
    <xf numFmtId="0" fontId="14" fillId="0" borderId="0" xfId="0" applyFont="1" applyBorder="1" applyAlignment="1">
      <alignment horizontal="center"/>
    </xf>
    <xf numFmtId="3" fontId="14" fillId="0" borderId="0" xfId="10" applyNumberFormat="1" applyFont="1" applyBorder="1" applyAlignment="1">
      <alignment horizontal="right"/>
    </xf>
    <xf numFmtId="165" fontId="14" fillId="0" borderId="0" xfId="10" applyNumberFormat="1" applyFont="1" applyBorder="1" applyAlignment="1">
      <alignment horizontal="right"/>
    </xf>
    <xf numFmtId="165" fontId="14" fillId="0" borderId="16" xfId="10" applyNumberFormat="1" applyFont="1" applyBorder="1"/>
    <xf numFmtId="1" fontId="14" fillId="0" borderId="0" xfId="0" applyNumberFormat="1" applyFont="1" applyBorder="1"/>
    <xf numFmtId="166" fontId="14" fillId="0" borderId="0" xfId="0" applyNumberFormat="1" applyFont="1" applyBorder="1"/>
    <xf numFmtId="3" fontId="14" fillId="0" borderId="0" xfId="0" applyNumberFormat="1" applyFont="1" applyBorder="1"/>
    <xf numFmtId="3" fontId="14" fillId="0" borderId="16" xfId="0" applyNumberFormat="1" applyFont="1" applyBorder="1"/>
    <xf numFmtId="164" fontId="14" fillId="0" borderId="16" xfId="2" applyNumberFormat="1" applyFont="1" applyFill="1" applyBorder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right"/>
    </xf>
    <xf numFmtId="3" fontId="13" fillId="0" borderId="0" xfId="0" applyNumberFormat="1" applyFont="1" applyBorder="1" applyAlignment="1">
      <alignment horizontal="center"/>
    </xf>
    <xf numFmtId="165" fontId="13" fillId="0" borderId="0" xfId="10" applyNumberFormat="1" applyFont="1" applyBorder="1" applyAlignment="1">
      <alignment horizontal="right"/>
    </xf>
    <xf numFmtId="165" fontId="13" fillId="0" borderId="0" xfId="10" applyNumberFormat="1" applyFont="1" applyBorder="1"/>
    <xf numFmtId="1" fontId="13" fillId="0" borderId="0" xfId="0" applyNumberFormat="1" applyFont="1" applyBorder="1"/>
    <xf numFmtId="3" fontId="13" fillId="0" borderId="0" xfId="0" applyNumberFormat="1" applyFont="1" applyBorder="1"/>
    <xf numFmtId="0" fontId="14" fillId="0" borderId="0" xfId="0" applyFont="1" applyAlignment="1">
      <alignment horizontal="center"/>
    </xf>
    <xf numFmtId="164" fontId="14" fillId="0" borderId="0" xfId="2" applyNumberFormat="1" applyFont="1" applyAlignment="1">
      <alignment horizontal="right"/>
    </xf>
    <xf numFmtId="1" fontId="13" fillId="0" borderId="0" xfId="0" applyNumberFormat="1" applyFont="1"/>
    <xf numFmtId="0" fontId="13" fillId="0" borderId="0" xfId="2" applyNumberFormat="1" applyFont="1" applyAlignment="1"/>
    <xf numFmtId="0" fontId="13" fillId="0" borderId="0" xfId="0" applyFont="1"/>
    <xf numFmtId="0" fontId="0" fillId="0" borderId="9" xfId="0" applyFill="1" applyBorder="1" applyAlignment="1"/>
    <xf numFmtId="0" fontId="0" fillId="0" borderId="0" xfId="0" applyFill="1" applyBorder="1" applyAlignment="1"/>
    <xf numFmtId="0" fontId="0" fillId="0" borderId="7" xfId="0" applyFill="1" applyBorder="1" applyAlignment="1"/>
    <xf numFmtId="1" fontId="0" fillId="0" borderId="9" xfId="0" applyNumberFormat="1" applyFill="1" applyBorder="1" applyAlignment="1"/>
    <xf numFmtId="3" fontId="0" fillId="0" borderId="9" xfId="0" applyNumberFormat="1" applyFill="1" applyBorder="1" applyAlignment="1"/>
    <xf numFmtId="3" fontId="0" fillId="0" borderId="7" xfId="0" applyNumberFormat="1" applyFill="1" applyBorder="1" applyAlignment="1"/>
    <xf numFmtId="0" fontId="0" fillId="0" borderId="12" xfId="0" applyFill="1" applyBorder="1" applyAlignment="1"/>
    <xf numFmtId="0" fontId="0" fillId="0" borderId="0" xfId="0" applyBorder="1"/>
    <xf numFmtId="0" fontId="16" fillId="0" borderId="0" xfId="0" applyFont="1" applyFill="1" applyBorder="1" applyAlignment="1">
      <alignment horizontal="center"/>
    </xf>
    <xf numFmtId="0" fontId="0" fillId="0" borderId="0" xfId="0" applyAlignment="1"/>
    <xf numFmtId="1" fontId="0" fillId="0" borderId="0" xfId="0" applyNumberFormat="1" applyFill="1" applyBorder="1" applyAlignment="1"/>
    <xf numFmtId="3" fontId="0" fillId="0" borderId="0" xfId="0" applyNumberFormat="1" applyFill="1" applyBorder="1" applyAlignment="1"/>
    <xf numFmtId="0" fontId="16" fillId="0" borderId="0" xfId="0" applyFont="1" applyFill="1" applyBorder="1" applyAlignment="1"/>
    <xf numFmtId="0" fontId="0" fillId="0" borderId="0" xfId="0" applyFill="1" applyBorder="1"/>
    <xf numFmtId="0" fontId="0" fillId="0" borderId="0" xfId="0" applyFill="1"/>
    <xf numFmtId="165" fontId="3" fillId="0" borderId="8" xfId="0" applyNumberFormat="1" applyFont="1" applyBorder="1" applyAlignment="1">
      <alignment horizontal="center"/>
    </xf>
    <xf numFmtId="165" fontId="3" fillId="0" borderId="9" xfId="0" applyNumberFormat="1" applyFont="1" applyBorder="1" applyAlignment="1">
      <alignment horizontal="center"/>
    </xf>
    <xf numFmtId="165" fontId="3" fillId="0" borderId="23" xfId="0" applyNumberFormat="1" applyFont="1" applyBorder="1" applyAlignment="1">
      <alignment horizontal="center"/>
    </xf>
    <xf numFmtId="165" fontId="3" fillId="0" borderId="23" xfId="0" applyNumberFormat="1" applyFont="1" applyFill="1" applyBorder="1" applyAlignment="1">
      <alignment horizontal="center"/>
    </xf>
    <xf numFmtId="165" fontId="3" fillId="0" borderId="16" xfId="0" applyNumberFormat="1" applyFont="1" applyFill="1" applyBorder="1" applyAlignment="1">
      <alignment horizontal="center"/>
    </xf>
    <xf numFmtId="165" fontId="3" fillId="0" borderId="31" xfId="0" applyNumberFormat="1" applyFont="1" applyBorder="1" applyAlignment="1">
      <alignment horizontal="center"/>
    </xf>
    <xf numFmtId="165" fontId="3" fillId="0" borderId="1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65" fontId="2" fillId="0" borderId="19" xfId="10" applyNumberFormat="1" applyFont="1" applyBorder="1" applyAlignment="1">
      <alignment horizontal="center"/>
    </xf>
    <xf numFmtId="9" fontId="0" fillId="0" borderId="0" xfId="10" applyFont="1" applyFill="1" applyBorder="1"/>
    <xf numFmtId="165" fontId="0" fillId="0" borderId="0" xfId="10" applyNumberFormat="1" applyFont="1" applyFill="1" applyBorder="1" applyAlignment="1"/>
    <xf numFmtId="1" fontId="0" fillId="0" borderId="0" xfId="0" applyNumberFormat="1" applyBorder="1"/>
    <xf numFmtId="164" fontId="0" fillId="0" borderId="0" xfId="2" applyNumberFormat="1" applyFont="1" applyFill="1" applyBorder="1" applyAlignment="1">
      <alignment horizontal="right"/>
    </xf>
    <xf numFmtId="165" fontId="0" fillId="0" borderId="0" xfId="10" applyNumberFormat="1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16" fillId="0" borderId="0" xfId="0" applyFont="1" applyFill="1" applyBorder="1" applyAlignment="1">
      <alignment horizontal="left"/>
    </xf>
    <xf numFmtId="165" fontId="13" fillId="0" borderId="0" xfId="0" applyNumberFormat="1" applyFont="1"/>
    <xf numFmtId="1" fontId="0" fillId="0" borderId="16" xfId="0" applyNumberFormat="1" applyFill="1" applyBorder="1" applyAlignment="1"/>
    <xf numFmtId="0" fontId="0" fillId="0" borderId="0" xfId="0" applyFill="1" applyBorder="1" applyAlignment="1">
      <alignment horizontal="right"/>
    </xf>
    <xf numFmtId="0" fontId="0" fillId="0" borderId="14" xfId="0" applyFill="1" applyBorder="1" applyAlignment="1"/>
    <xf numFmtId="0" fontId="16" fillId="3" borderId="18" xfId="0" applyFont="1" applyFill="1" applyBorder="1" applyAlignment="1">
      <alignment horizontal="center"/>
    </xf>
    <xf numFmtId="1" fontId="15" fillId="3" borderId="35" xfId="0" applyNumberFormat="1" applyFont="1" applyFill="1" applyBorder="1" applyAlignment="1">
      <alignment horizontal="left"/>
    </xf>
    <xf numFmtId="1" fontId="15" fillId="3" borderId="40" xfId="0" applyNumberFormat="1" applyFont="1" applyFill="1" applyBorder="1" applyAlignment="1">
      <alignment horizontal="left"/>
    </xf>
    <xf numFmtId="165" fontId="15" fillId="3" borderId="40" xfId="0" applyNumberFormat="1" applyFont="1" applyFill="1" applyBorder="1" applyAlignment="1">
      <alignment horizontal="left"/>
    </xf>
    <xf numFmtId="0" fontId="16" fillId="3" borderId="41" xfId="0" applyFont="1" applyFill="1" applyBorder="1" applyAlignment="1">
      <alignment horizontal="left"/>
    </xf>
    <xf numFmtId="9" fontId="0" fillId="0" borderId="0" xfId="10" applyFont="1" applyFill="1" applyBorder="1" applyAlignment="1"/>
    <xf numFmtId="9" fontId="0" fillId="0" borderId="9" xfId="10" applyFont="1" applyFill="1" applyBorder="1" applyAlignment="1"/>
    <xf numFmtId="1" fontId="0" fillId="0" borderId="10" xfId="0" applyNumberFormat="1" applyFill="1" applyBorder="1" applyAlignment="1"/>
    <xf numFmtId="0" fontId="0" fillId="0" borderId="10" xfId="0" applyFill="1" applyBorder="1" applyAlignment="1"/>
    <xf numFmtId="0" fontId="16" fillId="3" borderId="42" xfId="0" applyFont="1" applyFill="1" applyBorder="1" applyAlignment="1">
      <alignment horizontal="center"/>
    </xf>
    <xf numFmtId="0" fontId="16" fillId="3" borderId="22" xfId="0" applyFont="1" applyFill="1" applyBorder="1" applyAlignment="1">
      <alignment horizontal="center"/>
    </xf>
    <xf numFmtId="0" fontId="15" fillId="0" borderId="9" xfId="0" applyFont="1" applyFill="1" applyBorder="1" applyAlignment="1">
      <alignment horizontal="right"/>
    </xf>
    <xf numFmtId="0" fontId="15" fillId="3" borderId="35" xfId="0" applyFont="1" applyFill="1" applyBorder="1" applyAlignment="1"/>
    <xf numFmtId="0" fontId="0" fillId="0" borderId="16" xfId="0" applyFill="1" applyBorder="1" applyAlignment="1">
      <alignment horizontal="right"/>
    </xf>
    <xf numFmtId="0" fontId="0" fillId="0" borderId="7" xfId="0" applyBorder="1"/>
    <xf numFmtId="0" fontId="16" fillId="3" borderId="8" xfId="0" applyFont="1" applyFill="1" applyBorder="1" applyAlignment="1">
      <alignment horizontal="left"/>
    </xf>
    <xf numFmtId="0" fontId="16" fillId="3" borderId="23" xfId="0" applyFont="1" applyFill="1" applyBorder="1" applyAlignment="1">
      <alignment horizontal="left"/>
    </xf>
    <xf numFmtId="0" fontId="0" fillId="3" borderId="6" xfId="0" applyFill="1" applyBorder="1"/>
    <xf numFmtId="0" fontId="11" fillId="0" borderId="0" xfId="0" applyFont="1" applyFill="1" applyBorder="1" applyAlignment="1">
      <alignment horizontal="right"/>
    </xf>
    <xf numFmtId="0" fontId="0" fillId="0" borderId="7" xfId="0" applyBorder="1" applyAlignment="1">
      <alignment horizontal="right"/>
    </xf>
    <xf numFmtId="0" fontId="16" fillId="0" borderId="0" xfId="0" applyFont="1" applyFill="1" applyBorder="1" applyAlignment="1">
      <alignment horizontal="right"/>
    </xf>
    <xf numFmtId="0" fontId="0" fillId="0" borderId="23" xfId="0" applyFill="1" applyBorder="1"/>
    <xf numFmtId="0" fontId="11" fillId="0" borderId="16" xfId="0" applyFont="1" applyFill="1" applyBorder="1" applyAlignment="1">
      <alignment horizontal="left"/>
    </xf>
    <xf numFmtId="0" fontId="0" fillId="0" borderId="16" xfId="0" applyFill="1" applyBorder="1" applyAlignment="1">
      <alignment horizontal="left"/>
    </xf>
    <xf numFmtId="0" fontId="0" fillId="0" borderId="12" xfId="0" applyBorder="1" applyAlignment="1">
      <alignment horizontal="left"/>
    </xf>
    <xf numFmtId="0" fontId="15" fillId="0" borderId="0" xfId="0" applyFont="1" applyFill="1" applyBorder="1"/>
    <xf numFmtId="0" fontId="11" fillId="3" borderId="40" xfId="0" applyFont="1" applyFill="1" applyBorder="1" applyAlignment="1">
      <alignment horizontal="left"/>
    </xf>
    <xf numFmtId="0" fontId="11" fillId="3" borderId="41" xfId="0" applyFont="1" applyFill="1" applyBorder="1" applyAlignment="1">
      <alignment horizontal="left"/>
    </xf>
    <xf numFmtId="0" fontId="11" fillId="3" borderId="40" xfId="0" applyFont="1" applyFill="1" applyBorder="1" applyAlignment="1"/>
    <xf numFmtId="0" fontId="11" fillId="3" borderId="41" xfId="0" applyFont="1" applyFill="1" applyBorder="1" applyAlignment="1"/>
    <xf numFmtId="0" fontId="15" fillId="3" borderId="43" xfId="0" applyFont="1" applyFill="1" applyBorder="1" applyAlignment="1"/>
    <xf numFmtId="0" fontId="15" fillId="3" borderId="44" xfId="0" applyFont="1" applyFill="1" applyBorder="1" applyAlignment="1"/>
    <xf numFmtId="0" fontId="15" fillId="3" borderId="45" xfId="0" applyFont="1" applyFill="1" applyBorder="1" applyAlignment="1"/>
    <xf numFmtId="1" fontId="15" fillId="3" borderId="44" xfId="0" applyNumberFormat="1" applyFont="1" applyFill="1" applyBorder="1" applyAlignment="1"/>
    <xf numFmtId="3" fontId="0" fillId="0" borderId="0" xfId="1" applyNumberFormat="1" applyFont="1" applyFill="1" applyBorder="1" applyAlignment="1">
      <alignment horizontal="right"/>
      <protection locked="0"/>
    </xf>
    <xf numFmtId="10" fontId="0" fillId="0" borderId="0" xfId="10" applyNumberFormat="1" applyFon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3" fontId="15" fillId="3" borderId="35" xfId="0" applyNumberFormat="1" applyFont="1" applyFill="1" applyBorder="1" applyAlignment="1">
      <alignment horizontal="left"/>
    </xf>
    <xf numFmtId="164" fontId="17" fillId="0" borderId="0" xfId="2" applyNumberFormat="1" applyFont="1" applyAlignment="1" applyProtection="1">
      <protection locked="0"/>
    </xf>
    <xf numFmtId="1" fontId="0" fillId="0" borderId="0" xfId="3" applyNumberFormat="1" applyFont="1" applyFill="1" applyBorder="1" applyAlignment="1">
      <alignment horizontal="right"/>
      <protection locked="0"/>
    </xf>
    <xf numFmtId="165" fontId="0" fillId="0" borderId="0" xfId="0" applyNumberFormat="1" applyFill="1" applyBorder="1" applyAlignment="1">
      <alignment horizontal="right"/>
    </xf>
    <xf numFmtId="165" fontId="0" fillId="0" borderId="0" xfId="10" applyNumberFormat="1" applyFont="1" applyFill="1"/>
    <xf numFmtId="3" fontId="2" fillId="0" borderId="22" xfId="0" applyNumberFormat="1" applyFont="1" applyBorder="1" applyAlignment="1">
      <alignment horizontal="right"/>
    </xf>
    <xf numFmtId="165" fontId="2" fillId="0" borderId="22" xfId="0" applyNumberFormat="1" applyFont="1" applyBorder="1" applyAlignment="1">
      <alignment horizontal="right"/>
    </xf>
    <xf numFmtId="164" fontId="2" fillId="0" borderId="22" xfId="2" applyNumberFormat="1" applyFont="1" applyBorder="1" applyAlignment="1">
      <alignment horizontal="center" vertical="center"/>
    </xf>
    <xf numFmtId="164" fontId="13" fillId="3" borderId="9" xfId="2" applyNumberFormat="1" applyFont="1" applyFill="1" applyBorder="1" applyAlignment="1">
      <alignment horizontal="center"/>
    </xf>
    <xf numFmtId="164" fontId="13" fillId="3" borderId="7" xfId="2" applyNumberFormat="1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/>
    </xf>
    <xf numFmtId="1" fontId="2" fillId="3" borderId="9" xfId="0" applyNumberFormat="1" applyFont="1" applyFill="1" applyBorder="1" applyAlignment="1">
      <alignment horizontal="center"/>
    </xf>
    <xf numFmtId="1" fontId="3" fillId="3" borderId="9" xfId="0" applyNumberFormat="1" applyFont="1" applyFill="1" applyBorder="1" applyAlignment="1">
      <alignment horizontal="center"/>
    </xf>
    <xf numFmtId="165" fontId="2" fillId="3" borderId="7" xfId="0" applyNumberFormat="1" applyFont="1" applyFill="1" applyBorder="1"/>
    <xf numFmtId="9" fontId="3" fillId="0" borderId="0" xfId="0" applyNumberFormat="1" applyFont="1" applyBorder="1" applyAlignment="1">
      <alignment horizontal="center"/>
    </xf>
    <xf numFmtId="1" fontId="2" fillId="3" borderId="8" xfId="0" applyNumberFormat="1" applyFont="1" applyFill="1" applyBorder="1" applyAlignment="1">
      <alignment horizontal="center"/>
    </xf>
    <xf numFmtId="1" fontId="2" fillId="3" borderId="6" xfId="0" applyNumberFormat="1" applyFont="1" applyFill="1" applyBorder="1" applyAlignment="1">
      <alignment horizontal="center"/>
    </xf>
    <xf numFmtId="1" fontId="3" fillId="0" borderId="23" xfId="0" applyNumberFormat="1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9" fontId="2" fillId="0" borderId="15" xfId="0" applyNumberFormat="1" applyFont="1" applyBorder="1" applyAlignment="1">
      <alignment horizontal="center"/>
    </xf>
    <xf numFmtId="1" fontId="2" fillId="3" borderId="7" xfId="0" applyNumberFormat="1" applyFont="1" applyFill="1" applyBorder="1" applyAlignment="1">
      <alignment horizontal="center"/>
    </xf>
    <xf numFmtId="165" fontId="3" fillId="0" borderId="21" xfId="0" applyNumberFormat="1" applyFont="1" applyFill="1" applyBorder="1" applyAlignment="1">
      <alignment horizontal="center"/>
    </xf>
    <xf numFmtId="0" fontId="2" fillId="3" borderId="41" xfId="0" applyFont="1" applyFill="1" applyBorder="1" applyAlignment="1">
      <alignment horizontal="center"/>
    </xf>
    <xf numFmtId="0" fontId="0" fillId="0" borderId="14" xfId="0" applyBorder="1"/>
    <xf numFmtId="0" fontId="0" fillId="0" borderId="18" xfId="0" applyBorder="1" applyAlignment="1">
      <alignment horizontal="right"/>
    </xf>
    <xf numFmtId="165" fontId="2" fillId="0" borderId="19" xfId="0" applyNumberFormat="1" applyFont="1" applyBorder="1" applyAlignment="1">
      <alignment horizontal="center"/>
    </xf>
    <xf numFmtId="1" fontId="3" fillId="5" borderId="0" xfId="0" applyNumberFormat="1" applyFont="1" applyFill="1" applyBorder="1" applyAlignment="1">
      <alignment horizontal="center"/>
    </xf>
    <xf numFmtId="37" fontId="3" fillId="0" borderId="0" xfId="0" applyNumberFormat="1" applyFont="1"/>
    <xf numFmtId="0" fontId="18" fillId="0" borderId="0" xfId="8" applyFont="1" applyFill="1" applyAlignment="1" applyProtection="1"/>
    <xf numFmtId="1" fontId="0" fillId="0" borderId="0" xfId="0" applyNumberFormat="1"/>
    <xf numFmtId="165" fontId="2" fillId="0" borderId="26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165" fontId="2" fillId="3" borderId="12" xfId="0" applyNumberFormat="1" applyFont="1" applyFill="1" applyBorder="1"/>
    <xf numFmtId="9" fontId="3" fillId="0" borderId="10" xfId="0" applyNumberFormat="1" applyFont="1" applyBorder="1" applyAlignment="1">
      <alignment horizontal="center"/>
    </xf>
    <xf numFmtId="9" fontId="3" fillId="0" borderId="16" xfId="0" applyNumberFormat="1" applyFont="1" applyBorder="1" applyAlignment="1">
      <alignment horizontal="center"/>
    </xf>
    <xf numFmtId="9" fontId="3" fillId="0" borderId="16" xfId="0" applyNumberFormat="1" applyFont="1" applyFill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2" fillId="0" borderId="15" xfId="0" applyNumberFormat="1" applyFont="1" applyBorder="1" applyAlignment="1">
      <alignment horizontal="center"/>
    </xf>
    <xf numFmtId="0" fontId="0" fillId="0" borderId="0" xfId="0" applyAlignment="1">
      <alignment wrapText="1"/>
    </xf>
    <xf numFmtId="3" fontId="19" fillId="0" borderId="0" xfId="0" applyNumberFormat="1" applyFont="1" applyAlignment="1">
      <alignment horizontal="center" wrapText="1"/>
    </xf>
    <xf numFmtId="0" fontId="0" fillId="0" borderId="0" xfId="0" applyFill="1" applyBorder="1" applyAlignment="1">
      <alignment wrapText="1"/>
    </xf>
    <xf numFmtId="1" fontId="20" fillId="5" borderId="0" xfId="0" applyNumberFormat="1" applyFont="1" applyFill="1" applyBorder="1" applyAlignment="1">
      <alignment horizontal="center"/>
    </xf>
    <xf numFmtId="0" fontId="0" fillId="0" borderId="37" xfId="0" applyBorder="1" applyAlignment="1">
      <alignment wrapText="1"/>
    </xf>
    <xf numFmtId="0" fontId="14" fillId="0" borderId="38" xfId="0" applyFont="1" applyBorder="1" applyAlignment="1">
      <alignment horizontal="center"/>
    </xf>
    <xf numFmtId="1" fontId="14" fillId="0" borderId="0" xfId="9" applyNumberFormat="1" applyFont="1" applyFill="1" applyBorder="1" applyAlignment="1"/>
    <xf numFmtId="0" fontId="0" fillId="0" borderId="38" xfId="0" applyBorder="1"/>
    <xf numFmtId="0" fontId="14" fillId="0" borderId="0" xfId="0" applyFont="1" applyBorder="1"/>
    <xf numFmtId="0" fontId="0" fillId="0" borderId="38" xfId="0" applyFill="1" applyBorder="1"/>
    <xf numFmtId="3" fontId="13" fillId="0" borderId="16" xfId="0" applyNumberFormat="1" applyFont="1" applyBorder="1" applyAlignment="1">
      <alignment horizontal="center"/>
    </xf>
    <xf numFmtId="164" fontId="14" fillId="0" borderId="39" xfId="2" applyNumberFormat="1" applyFont="1" applyFill="1" applyBorder="1" applyAlignment="1">
      <alignment horizontal="center"/>
    </xf>
    <xf numFmtId="3" fontId="14" fillId="0" borderId="42" xfId="10" applyNumberFormat="1" applyFont="1" applyBorder="1" applyAlignment="1">
      <alignment horizontal="right"/>
    </xf>
    <xf numFmtId="165" fontId="14" fillId="0" borderId="15" xfId="10" applyNumberFormat="1" applyFont="1" applyBorder="1" applyAlignment="1">
      <alignment horizontal="right"/>
    </xf>
    <xf numFmtId="165" fontId="13" fillId="0" borderId="16" xfId="10" applyNumberFormat="1" applyFont="1" applyBorder="1"/>
    <xf numFmtId="165" fontId="14" fillId="0" borderId="18" xfId="10" applyNumberFormat="1" applyFont="1" applyBorder="1"/>
    <xf numFmtId="1" fontId="14" fillId="0" borderId="37" xfId="0" applyNumberFormat="1" applyFont="1" applyBorder="1"/>
    <xf numFmtId="166" fontId="14" fillId="0" borderId="38" xfId="0" applyNumberFormat="1" applyFont="1" applyBorder="1"/>
    <xf numFmtId="0" fontId="13" fillId="0" borderId="16" xfId="0" applyFont="1" applyBorder="1"/>
    <xf numFmtId="3" fontId="14" fillId="0" borderId="37" xfId="0" applyNumberFormat="1" applyFont="1" applyBorder="1"/>
    <xf numFmtId="3" fontId="14" fillId="0" borderId="38" xfId="0" applyNumberFormat="1" applyFont="1" applyBorder="1"/>
    <xf numFmtId="3" fontId="14" fillId="0" borderId="39" xfId="0" applyNumberFormat="1" applyFont="1" applyBorder="1"/>
    <xf numFmtId="37" fontId="3" fillId="0" borderId="46" xfId="0" applyNumberFormat="1" applyFont="1" applyBorder="1"/>
    <xf numFmtId="0" fontId="0" fillId="0" borderId="0" xfId="0" applyBorder="1" applyAlignment="1">
      <alignment wrapText="1"/>
    </xf>
    <xf numFmtId="37" fontId="3" fillId="0" borderId="0" xfId="0" applyNumberFormat="1" applyFont="1" applyBorder="1"/>
    <xf numFmtId="0" fontId="1" fillId="0" borderId="38" xfId="0" applyFont="1" applyBorder="1"/>
    <xf numFmtId="0" fontId="0" fillId="0" borderId="38" xfId="0" applyBorder="1" applyAlignment="1">
      <alignment wrapText="1"/>
    </xf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3" fontId="3" fillId="0" borderId="0" xfId="0" applyNumberFormat="1" applyFont="1"/>
    <xf numFmtId="0" fontId="14" fillId="0" borderId="0" xfId="0" applyFont="1" applyBorder="1" applyAlignment="1">
      <alignment horizontal="center"/>
    </xf>
    <xf numFmtId="164" fontId="14" fillId="4" borderId="0" xfId="2" applyNumberFormat="1" applyFont="1" applyFill="1" applyBorder="1" applyAlignment="1">
      <alignment horizontal="right"/>
    </xf>
    <xf numFmtId="164" fontId="14" fillId="4" borderId="36" xfId="2" applyNumberFormat="1" applyFont="1" applyFill="1" applyBorder="1" applyAlignment="1">
      <alignment horizontal="right"/>
    </xf>
    <xf numFmtId="3" fontId="14" fillId="0" borderId="16" xfId="2" applyNumberFormat="1" applyFont="1" applyFill="1" applyBorder="1" applyAlignment="1">
      <alignment horizontal="center"/>
    </xf>
    <xf numFmtId="3" fontId="14" fillId="0" borderId="0" xfId="10" applyNumberFormat="1" applyFont="1" applyBorder="1" applyAlignment="1">
      <alignment horizontal="right"/>
    </xf>
    <xf numFmtId="165" fontId="14" fillId="0" borderId="0" xfId="10" applyNumberFormat="1" applyFont="1" applyBorder="1" applyAlignment="1">
      <alignment horizontal="right"/>
    </xf>
    <xf numFmtId="165" fontId="14" fillId="0" borderId="16" xfId="10" applyNumberFormat="1" applyFont="1" applyBorder="1"/>
    <xf numFmtId="1" fontId="14" fillId="0" borderId="0" xfId="0" applyNumberFormat="1" applyFont="1" applyBorder="1"/>
    <xf numFmtId="166" fontId="14" fillId="0" borderId="0" xfId="0" applyNumberFormat="1" applyFont="1" applyBorder="1"/>
    <xf numFmtId="166" fontId="14" fillId="0" borderId="16" xfId="0" applyNumberFormat="1" applyFont="1" applyBorder="1"/>
    <xf numFmtId="3" fontId="14" fillId="0" borderId="0" xfId="0" applyNumberFormat="1" applyFont="1" applyBorder="1"/>
    <xf numFmtId="3" fontId="14" fillId="0" borderId="16" xfId="0" applyNumberFormat="1" applyFont="1" applyBorder="1"/>
    <xf numFmtId="164" fontId="14" fillId="0" borderId="16" xfId="2" applyNumberFormat="1" applyFont="1" applyFill="1" applyBorder="1" applyAlignment="1">
      <alignment horizontal="center"/>
    </xf>
    <xf numFmtId="3" fontId="14" fillId="4" borderId="11" xfId="0" applyNumberFormat="1" applyFont="1" applyFill="1" applyBorder="1"/>
    <xf numFmtId="0" fontId="14" fillId="0" borderId="0" xfId="0" applyFont="1" applyFill="1" applyBorder="1" applyAlignment="1">
      <alignment horizontal="center"/>
    </xf>
    <xf numFmtId="3" fontId="14" fillId="0" borderId="0" xfId="10" applyNumberFormat="1" applyFont="1" applyFill="1" applyBorder="1" applyAlignment="1">
      <alignment horizontal="right"/>
    </xf>
    <xf numFmtId="165" fontId="14" fillId="0" borderId="16" xfId="10" applyNumberFormat="1" applyFont="1" applyFill="1" applyBorder="1"/>
    <xf numFmtId="1" fontId="14" fillId="0" borderId="0" xfId="0" applyNumberFormat="1" applyFont="1" applyFill="1" applyBorder="1"/>
    <xf numFmtId="166" fontId="14" fillId="0" borderId="0" xfId="0" applyNumberFormat="1" applyFont="1" applyFill="1" applyBorder="1"/>
    <xf numFmtId="3" fontId="14" fillId="0" borderId="0" xfId="0" applyNumberFormat="1" applyFont="1" applyFill="1" applyBorder="1"/>
    <xf numFmtId="3" fontId="14" fillId="0" borderId="16" xfId="0" applyNumberFormat="1" applyFont="1" applyFill="1" applyBorder="1"/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right"/>
    </xf>
    <xf numFmtId="165" fontId="13" fillId="0" borderId="0" xfId="10" applyNumberFormat="1" applyFont="1" applyBorder="1" applyAlignment="1">
      <alignment horizontal="right"/>
    </xf>
    <xf numFmtId="1" fontId="13" fillId="0" borderId="0" xfId="0" applyNumberFormat="1" applyFont="1" applyBorder="1"/>
    <xf numFmtId="3" fontId="13" fillId="0" borderId="0" xfId="0" applyNumberFormat="1" applyFont="1" applyBorder="1"/>
    <xf numFmtId="0" fontId="0" fillId="0" borderId="0" xfId="0" applyBorder="1"/>
    <xf numFmtId="0" fontId="0" fillId="0" borderId="0" xfId="0" applyFill="1" applyBorder="1"/>
    <xf numFmtId="37" fontId="3" fillId="0" borderId="0" xfId="0" applyNumberFormat="1" applyFont="1"/>
    <xf numFmtId="0" fontId="1" fillId="0" borderId="0" xfId="0" applyFont="1"/>
    <xf numFmtId="0" fontId="0" fillId="0" borderId="0" xfId="0" applyAlignment="1">
      <alignment wrapText="1"/>
    </xf>
    <xf numFmtId="3" fontId="19" fillId="0" borderId="0" xfId="0" applyNumberFormat="1" applyFont="1" applyAlignment="1">
      <alignment horizontal="center" wrapText="1"/>
    </xf>
    <xf numFmtId="0" fontId="0" fillId="0" borderId="0" xfId="0" applyFill="1" applyBorder="1" applyAlignment="1">
      <alignment wrapText="1"/>
    </xf>
    <xf numFmtId="1" fontId="3" fillId="0" borderId="0" xfId="0" applyNumberFormat="1" applyFont="1" applyBorder="1" applyAlignment="1">
      <alignment horizontal="center"/>
    </xf>
    <xf numFmtId="165" fontId="3" fillId="0" borderId="0" xfId="10" applyNumberFormat="1" applyFont="1" applyBorder="1" applyAlignment="1">
      <alignment horizontal="right"/>
    </xf>
    <xf numFmtId="165" fontId="2" fillId="0" borderId="15" xfId="0" applyNumberFormat="1" applyFont="1" applyBorder="1" applyAlignment="1">
      <alignment horizontal="right"/>
    </xf>
    <xf numFmtId="165" fontId="14" fillId="0" borderId="0" xfId="10" applyNumberFormat="1" applyFont="1" applyBorder="1" applyAlignment="1">
      <alignment horizontal="right"/>
    </xf>
    <xf numFmtId="166" fontId="14" fillId="0" borderId="16" xfId="0" applyNumberFormat="1" applyFont="1" applyBorder="1"/>
    <xf numFmtId="3" fontId="13" fillId="0" borderId="0" xfId="0" applyNumberFormat="1" applyFont="1" applyBorder="1" applyAlignment="1">
      <alignment horizontal="right"/>
    </xf>
    <xf numFmtId="3" fontId="13" fillId="0" borderId="0" xfId="0" applyNumberFormat="1" applyFont="1" applyBorder="1"/>
    <xf numFmtId="0" fontId="1" fillId="0" borderId="0" xfId="0" applyFont="1"/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0" xfId="0" applyFont="1"/>
    <xf numFmtId="164" fontId="21" fillId="0" borderId="0" xfId="2" applyNumberFormat="1" applyFont="1" applyAlignment="1">
      <alignment horizontal="right"/>
    </xf>
    <xf numFmtId="164" fontId="22" fillId="0" borderId="0" xfId="2" applyNumberFormat="1" applyFont="1" applyAlignment="1">
      <alignment horizontal="left"/>
    </xf>
    <xf numFmtId="0" fontId="23" fillId="0" borderId="0" xfId="0" applyFont="1"/>
    <xf numFmtId="164" fontId="24" fillId="3" borderId="9" xfId="2" applyNumberFormat="1" applyFont="1" applyFill="1" applyBorder="1" applyAlignment="1">
      <alignment horizontal="left"/>
    </xf>
    <xf numFmtId="164" fontId="24" fillId="3" borderId="7" xfId="2" applyNumberFormat="1" applyFont="1" applyFill="1" applyBorder="1" applyAlignment="1">
      <alignment horizontal="right"/>
    </xf>
    <xf numFmtId="3" fontId="24" fillId="0" borderId="0" xfId="0" applyNumberFormat="1" applyFont="1" applyBorder="1" applyAlignment="1">
      <alignment horizontal="right"/>
    </xf>
    <xf numFmtId="164" fontId="22" fillId="0" borderId="0" xfId="2" applyNumberFormat="1" applyFont="1" applyAlignment="1">
      <alignment horizontal="right"/>
    </xf>
    <xf numFmtId="43" fontId="3" fillId="0" borderId="11" xfId="2" applyFont="1" applyFill="1" applyBorder="1" applyAlignment="1"/>
    <xf numFmtId="0" fontId="3" fillId="0" borderId="20" xfId="0" applyFont="1" applyBorder="1" applyAlignment="1">
      <alignment horizontal="center"/>
    </xf>
    <xf numFmtId="0" fontId="13" fillId="0" borderId="20" xfId="0" applyFont="1" applyBorder="1" applyAlignment="1">
      <alignment horizontal="left"/>
    </xf>
    <xf numFmtId="0" fontId="0" fillId="0" borderId="20" xfId="0" applyBorder="1"/>
    <xf numFmtId="0" fontId="13" fillId="3" borderId="33" xfId="0" applyFont="1" applyFill="1" applyBorder="1" applyAlignment="1">
      <alignment horizontal="center"/>
    </xf>
    <xf numFmtId="0" fontId="13" fillId="3" borderId="29" xfId="0" applyFont="1" applyFill="1" applyBorder="1" applyAlignment="1">
      <alignment horizontal="center"/>
    </xf>
    <xf numFmtId="0" fontId="0" fillId="0" borderId="20" xfId="0" applyFill="1" applyBorder="1"/>
  </cellXfs>
  <cellStyles count="12">
    <cellStyle name="Body" xfId="1"/>
    <cellStyle name="Comma" xfId="2" builtinId="3"/>
    <cellStyle name="Default" xfId="3"/>
    <cellStyle name="Default SS" xfId="4"/>
    <cellStyle name="Default TB" xfId="5"/>
    <cellStyle name="Footer" xfId="6"/>
    <cellStyle name="Header" xfId="7"/>
    <cellStyle name="Hyperlink" xfId="8" builtinId="8"/>
    <cellStyle name="Normal" xfId="0" builtinId="0"/>
    <cellStyle name="Normal 2" xfId="11"/>
    <cellStyle name="Normal_Sheet2" xfId="9"/>
    <cellStyle name="Percent" xfId="10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777777"/>
      <rgbColor rgb="00555555"/>
      <rgbColor rgb="00FFFF00"/>
      <rgbColor rgb="00FF6600"/>
      <rgbColor rgb="00DD0000"/>
      <rgbColor rgb="00FF0099"/>
      <rgbColor rgb="00660099"/>
      <rgbColor rgb="000000DD"/>
      <rgbColor rgb="000099FF"/>
      <rgbColor rgb="0000EE00"/>
      <rgbColor rgb="00006600"/>
      <rgbColor rgb="00663300"/>
      <rgbColor rgb="00996633"/>
      <rgbColor rgb="00C0C0C0"/>
      <rgbColor rgb="00FFFBF0"/>
      <rgbColor rgb="00FFFF99"/>
      <rgbColor rgb="00FFFF66"/>
      <rgbColor rgb="00FFFF33"/>
      <rgbColor rgb="00FFCCFF"/>
      <rgbColor rgb="00FFCCCC"/>
      <rgbColor rgb="00FFCC99"/>
      <rgbColor rgb="00FFCC66"/>
      <rgbColor rgb="00FFCC33"/>
      <rgbColor rgb="00FFCC00"/>
      <rgbColor rgb="00FF99FF"/>
      <rgbColor rgb="00FF99CC"/>
      <rgbColor rgb="00FF9999"/>
      <rgbColor rgb="00FF9966"/>
      <rgbColor rgb="00FF9933"/>
      <rgbColor rgb="00FF9900"/>
      <rgbColor rgb="00FF66FF"/>
      <rgbColor rgb="00FF66CC"/>
      <rgbColor rgb="00FF6699"/>
      <rgbColor rgb="00FF6666"/>
      <rgbColor rgb="00FF6633"/>
      <rgbColor rgb="00FF33FF"/>
      <rgbColor rgb="00FF33CC"/>
      <rgbColor rgb="00FF3399"/>
      <rgbColor rgb="00FF3366"/>
      <rgbColor rgb="00FF3333"/>
      <rgbColor rgb="00FF3300"/>
      <rgbColor rgb="00FF00FF"/>
      <rgbColor rgb="00FF00CC"/>
      <rgbColor rgb="00FF0066"/>
      <rgbColor rgb="00FF0033"/>
      <rgbColor rgb="00FF0000"/>
      <rgbColor rgb="00CCFFFF"/>
      <rgbColor rgb="00C0DCC0"/>
      <rgbColor rgb="00CCFF99"/>
      <rgbColor rgb="00CCFF66"/>
      <rgbColor rgb="00CCFF33"/>
      <rgbColor rgb="00CCFF00"/>
      <rgbColor rgb="00CCCC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8"/>
    </mc:Choice>
    <mc:Fallback>
      <c:style val="3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100"/>
              <a:t>United States of America Seats-to-Votes 2014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3089418617193513"/>
          <c:y val="0.20245674267020006"/>
          <c:w val="0.69198468342142161"/>
          <c:h val="0.64120560759289524"/>
        </c:manualLayout>
      </c:layout>
      <c:barChart>
        <c:barDir val="col"/>
        <c:grouping val="clustered"/>
        <c:varyColors val="0"/>
        <c:ser>
          <c:idx val="0"/>
          <c:order val="0"/>
          <c:tx>
            <c:v>Vote Percentage</c:v>
          </c:tx>
          <c:invertIfNegative val="0"/>
          <c:cat>
            <c:strLit>
              <c:ptCount val="3"/>
              <c:pt idx="0">
                <c:v>Dem.</c:v>
              </c:pt>
              <c:pt idx="1">
                <c:v>Rep.</c:v>
              </c:pt>
              <c:pt idx="2">
                <c:v>Other</c:v>
              </c:pt>
            </c:strLit>
          </c:cat>
          <c:val>
            <c:numRef>
              <c:f>'Seats to Votes'!$E$2:$E$4</c:f>
              <c:numCache>
                <c:formatCode>0%</c:formatCode>
                <c:ptCount val="3"/>
                <c:pt idx="0">
                  <c:v>0.45685755301510872</c:v>
                </c:pt>
                <c:pt idx="1">
                  <c:v>0.51412871673496729</c:v>
                </c:pt>
                <c:pt idx="2">
                  <c:v>2.9013730249924017E-2</c:v>
                </c:pt>
              </c:numCache>
            </c:numRef>
          </c:val>
        </c:ser>
        <c:ser>
          <c:idx val="1"/>
          <c:order val="1"/>
          <c:tx>
            <c:v>Seat Percentage</c:v>
          </c:tx>
          <c:invertIfNegative val="0"/>
          <c:cat>
            <c:strLit>
              <c:ptCount val="3"/>
              <c:pt idx="0">
                <c:v>Dem.</c:v>
              </c:pt>
              <c:pt idx="1">
                <c:v>Rep.</c:v>
              </c:pt>
              <c:pt idx="2">
                <c:v>Other</c:v>
              </c:pt>
            </c:strLit>
          </c:cat>
          <c:val>
            <c:numRef>
              <c:f>'Seats to Votes'!$C$2:$C$4</c:f>
              <c:numCache>
                <c:formatCode>0%</c:formatCode>
                <c:ptCount val="3"/>
                <c:pt idx="0">
                  <c:v>0.43218390804597701</c:v>
                </c:pt>
                <c:pt idx="1">
                  <c:v>0.56781609195402294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776160"/>
        <c:axId val="167775040"/>
      </c:barChart>
      <c:catAx>
        <c:axId val="167776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7775040"/>
        <c:crosses val="autoZero"/>
        <c:auto val="1"/>
        <c:lblAlgn val="ctr"/>
        <c:lblOffset val="100"/>
        <c:noMultiLvlLbl val="0"/>
      </c:catAx>
      <c:valAx>
        <c:axId val="167775040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167776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118937187646192"/>
          <c:y val="0.91373785622768966"/>
          <c:w val="0.78944989752993444"/>
          <c:h val="7.4743441430010923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United States of America Competitiveness 2014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Competitive</c:v>
              </c:pt>
              <c:pt idx="1">
                <c:v>Non-Competitive</c:v>
              </c:pt>
            </c:strLit>
          </c:cat>
          <c:val>
            <c:numRef>
              <c:f>Charts!$N$4:$N$5</c:f>
              <c:numCache>
                <c:formatCode>0</c:formatCode>
                <c:ptCount val="2"/>
                <c:pt idx="0">
                  <c:v>117</c:v>
                </c:pt>
                <c:pt idx="1">
                  <c:v>318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</c:legend>
    <c:plotVisOnly val="1"/>
    <c:dispBlanksAs val="zero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152400</xdr:rowOff>
    </xdr:from>
    <xdr:to>
      <xdr:col>5</xdr:col>
      <xdr:colOff>333375</xdr:colOff>
      <xdr:row>26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600075</xdr:colOff>
      <xdr:row>1</xdr:row>
      <xdr:rowOff>152401</xdr:rowOff>
    </xdr:from>
    <xdr:to>
      <xdr:col>10</xdr:col>
      <xdr:colOff>304800</xdr:colOff>
      <xdr:row>26</xdr:row>
      <xdr:rowOff>123826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info@fairvote.or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48"/>
  <sheetViews>
    <sheetView tabSelected="1" zoomScale="85" zoomScaleNormal="85" workbookViewId="0">
      <pane xSplit="14" ySplit="6" topLeftCell="Y382" activePane="bottomRight" state="frozen"/>
      <selection pane="topRight" activeCell="D1" sqref="D1"/>
      <selection pane="bottomLeft" activeCell="A5" sqref="A5"/>
      <selection pane="bottomRight" activeCell="W389" sqref="W389"/>
    </sheetView>
  </sheetViews>
  <sheetFormatPr defaultRowHeight="15.75"/>
  <cols>
    <col min="1" max="1" width="15.85546875" style="7" customWidth="1"/>
    <col min="2" max="2" width="10.7109375" style="380" customWidth="1"/>
    <col min="3" max="3" width="4.28515625" style="10" customWidth="1"/>
    <col min="4" max="4" width="29.28515625" style="381" customWidth="1"/>
    <col min="5" max="5" width="8.5703125" style="10" customWidth="1"/>
    <col min="6" max="6" width="12" style="10" customWidth="1"/>
    <col min="7" max="7" width="12.28515625" style="10" customWidth="1"/>
    <col min="8" max="8" width="11.42578125" style="10" customWidth="1"/>
    <col min="9" max="9" width="13.42578125" style="10" customWidth="1"/>
    <col min="10" max="10" width="16.140625" style="10" customWidth="1"/>
    <col min="11" max="11" width="16.28515625" style="10" customWidth="1"/>
    <col min="12" max="13" width="17.7109375" style="10" customWidth="1"/>
    <col min="14" max="14" width="10.42578125" style="438" customWidth="1"/>
    <col min="15" max="15" width="18.42578125" style="3" customWidth="1"/>
    <col min="16" max="16" width="12.7109375" style="3" customWidth="1"/>
    <col min="17" max="17" width="14.7109375" style="430" customWidth="1"/>
    <col min="18" max="18" width="12.7109375" style="3" customWidth="1"/>
    <col min="19" max="19" width="13.85546875" style="3" customWidth="1"/>
    <col min="20" max="20" width="12.7109375" style="3" customWidth="1"/>
    <col min="21" max="21" width="10.85546875" style="3" hidden="1" customWidth="1"/>
    <col min="22" max="22" width="14.42578125" style="2" customWidth="1"/>
    <col min="23" max="23" width="13.5703125" style="2" customWidth="1"/>
    <col min="24" max="25" width="14.5703125" style="2" customWidth="1"/>
    <col min="26" max="26" width="10.28515625" style="4" customWidth="1"/>
    <col min="27" max="27" width="13.42578125" style="7" customWidth="1"/>
    <col min="28" max="28" width="10.42578125" style="7" customWidth="1"/>
    <col min="29" max="29" width="18.85546875" style="7" customWidth="1"/>
    <col min="30" max="30" width="16.85546875" style="7" customWidth="1"/>
    <col min="31" max="32" width="16" style="7" customWidth="1"/>
    <col min="33" max="33" width="16.7109375" style="7" customWidth="1"/>
    <col min="34" max="34" width="20" style="7" customWidth="1"/>
    <col min="35" max="35" width="18" style="7" customWidth="1"/>
    <col min="36" max="16384" width="9.140625" style="7"/>
  </cols>
  <sheetData>
    <row r="1" spans="1:34">
      <c r="A1" s="8" t="s">
        <v>270</v>
      </c>
      <c r="B1" s="8"/>
    </row>
    <row r="2" spans="1:34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439"/>
      <c r="O2" s="197"/>
      <c r="P2" s="197"/>
      <c r="Q2" s="431"/>
      <c r="R2" s="197"/>
      <c r="S2" s="197"/>
      <c r="T2" s="197"/>
      <c r="U2" s="197"/>
      <c r="V2" s="196"/>
      <c r="W2" s="198"/>
      <c r="X2" s="198"/>
      <c r="Y2" s="198"/>
      <c r="Z2" s="199"/>
      <c r="AA2" s="200">
        <v>7</v>
      </c>
      <c r="AB2" s="200"/>
      <c r="AC2" s="200"/>
      <c r="AD2" s="200"/>
      <c r="AE2" s="200"/>
      <c r="AF2" s="200"/>
    </row>
    <row r="3" spans="1:34">
      <c r="A3" s="195"/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439"/>
      <c r="O3" s="195" t="s">
        <v>268</v>
      </c>
      <c r="P3" s="197"/>
      <c r="Q3" s="431"/>
      <c r="R3" s="197"/>
      <c r="S3" s="197"/>
      <c r="T3" s="201"/>
      <c r="U3" s="201"/>
      <c r="V3" s="196"/>
      <c r="W3" s="198"/>
      <c r="X3" s="198"/>
      <c r="Y3" s="198"/>
      <c r="Z3" s="199"/>
      <c r="AA3" s="200"/>
      <c r="AB3" s="200"/>
      <c r="AC3" s="200"/>
      <c r="AD3" s="200"/>
      <c r="AE3" s="200"/>
      <c r="AF3" s="200"/>
    </row>
    <row r="4" spans="1:34" ht="16.5" thickBot="1">
      <c r="A4" s="195"/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/>
      <c r="N4" s="440"/>
      <c r="O4"/>
      <c r="P4"/>
      <c r="Q4" s="432"/>
      <c r="R4"/>
      <c r="S4"/>
      <c r="T4"/>
      <c r="U4"/>
      <c r="V4"/>
      <c r="W4"/>
      <c r="X4"/>
      <c r="Y4"/>
      <c r="Z4"/>
      <c r="AA4"/>
      <c r="AB4" s="200"/>
      <c r="AC4" s="200"/>
      <c r="AD4" s="200"/>
      <c r="AE4" s="200"/>
      <c r="AF4" s="200"/>
    </row>
    <row r="5" spans="1:34">
      <c r="A5" s="202"/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324" t="s">
        <v>335</v>
      </c>
      <c r="M5" s="203"/>
      <c r="N5" s="441" t="s">
        <v>315</v>
      </c>
      <c r="O5" s="204"/>
      <c r="P5" s="204"/>
      <c r="Q5" s="433" t="s">
        <v>115</v>
      </c>
      <c r="R5" s="204"/>
      <c r="S5" s="204"/>
      <c r="T5" s="205"/>
      <c r="U5" s="322" t="s">
        <v>331</v>
      </c>
      <c r="V5" s="203" t="s">
        <v>123</v>
      </c>
      <c r="W5" s="206"/>
      <c r="X5" s="206" t="s">
        <v>325</v>
      </c>
      <c r="Y5" s="206"/>
      <c r="Z5" s="207" t="s">
        <v>120</v>
      </c>
      <c r="AA5" s="208" t="s">
        <v>325</v>
      </c>
      <c r="AB5" s="209"/>
      <c r="AC5" s="210"/>
      <c r="AD5" s="209"/>
      <c r="AE5" s="209" t="s">
        <v>124</v>
      </c>
      <c r="AF5" s="210"/>
    </row>
    <row r="6" spans="1:34" s="1" customFormat="1" ht="17.25" customHeight="1" thickBot="1">
      <c r="A6" s="211" t="s">
        <v>51</v>
      </c>
      <c r="B6" s="216" t="s">
        <v>759</v>
      </c>
      <c r="C6" s="212" t="s">
        <v>114</v>
      </c>
      <c r="D6" s="212" t="s">
        <v>313</v>
      </c>
      <c r="E6" s="212" t="s">
        <v>338</v>
      </c>
      <c r="F6" s="212" t="s">
        <v>229</v>
      </c>
      <c r="G6" s="212" t="s">
        <v>340</v>
      </c>
      <c r="H6" s="212" t="s">
        <v>339</v>
      </c>
      <c r="I6" s="212" t="s">
        <v>337</v>
      </c>
      <c r="J6" s="212" t="s">
        <v>333</v>
      </c>
      <c r="K6" s="212" t="s">
        <v>321</v>
      </c>
      <c r="L6" s="212" t="s">
        <v>336</v>
      </c>
      <c r="M6" s="212" t="s">
        <v>316</v>
      </c>
      <c r="N6" s="442" t="s">
        <v>314</v>
      </c>
      <c r="O6" s="214" t="s">
        <v>116</v>
      </c>
      <c r="P6" s="214" t="s">
        <v>757</v>
      </c>
      <c r="Q6" s="434" t="s">
        <v>117</v>
      </c>
      <c r="R6" s="214" t="s">
        <v>758</v>
      </c>
      <c r="S6" s="214" t="s">
        <v>118</v>
      </c>
      <c r="T6" s="215" t="s">
        <v>119</v>
      </c>
      <c r="U6" s="323" t="s">
        <v>332</v>
      </c>
      <c r="V6" s="216" t="s">
        <v>121</v>
      </c>
      <c r="W6" s="216" t="s">
        <v>122</v>
      </c>
      <c r="X6" s="216" t="s">
        <v>126</v>
      </c>
      <c r="Y6" s="216" t="s">
        <v>126</v>
      </c>
      <c r="Z6" s="217" t="s">
        <v>125</v>
      </c>
      <c r="AA6" s="218" t="s">
        <v>148</v>
      </c>
      <c r="AB6" s="219" t="s">
        <v>52</v>
      </c>
      <c r="AC6" s="213" t="s">
        <v>54</v>
      </c>
      <c r="AD6" s="216" t="s">
        <v>116</v>
      </c>
      <c r="AE6" s="216" t="s">
        <v>117</v>
      </c>
      <c r="AF6" s="213" t="s">
        <v>118</v>
      </c>
      <c r="AG6" s="1" t="s">
        <v>326</v>
      </c>
      <c r="AH6" s="1" t="s">
        <v>327</v>
      </c>
    </row>
    <row r="7" spans="1:34">
      <c r="A7" s="415" t="s">
        <v>64</v>
      </c>
      <c r="B7" s="426">
        <v>1</v>
      </c>
      <c r="C7" s="384" t="s">
        <v>0</v>
      </c>
      <c r="D7" s="379" t="s">
        <v>760</v>
      </c>
      <c r="E7" s="379"/>
      <c r="F7" s="379"/>
      <c r="G7" s="379"/>
      <c r="H7" s="379"/>
      <c r="I7" s="379"/>
      <c r="J7" s="379" t="str">
        <f t="shared" ref="J7:J70" si="0">C7&amp;"-"&amp;IF(L7=1, "Yes", IF(L7="", "Yes", IF(L7=0, "No")))</f>
        <v>AL-Yes</v>
      </c>
      <c r="K7" s="379" t="str">
        <f t="shared" ref="K7:K70" si="1">C7&amp;"-"&amp;IF(L7=1, "No", IF(M7=1, "No", IF(L7="", "Yes", IF(L7=0, "No"))))</f>
        <v>AL-Yes</v>
      </c>
      <c r="L7" s="415"/>
      <c r="M7" s="415"/>
      <c r="N7" s="412">
        <v>2013</v>
      </c>
      <c r="O7" s="416">
        <v>48278</v>
      </c>
      <c r="P7" s="416"/>
      <c r="Q7" s="416">
        <v>103758</v>
      </c>
      <c r="R7" s="416"/>
      <c r="S7" s="416">
        <v>198</v>
      </c>
      <c r="T7" s="353">
        <f t="shared" ref="T7:T70" si="2">O7+Q7+P7+R7+S7</f>
        <v>152234</v>
      </c>
      <c r="U7" s="387"/>
      <c r="V7" s="388">
        <f t="shared" ref="V7:V70" si="3">MAX(O7:S7)</f>
        <v>103758</v>
      </c>
      <c r="W7" s="388">
        <f t="shared" ref="W7:W27" si="4">LARGE(O7:S7, 2)</f>
        <v>48278</v>
      </c>
      <c r="X7" s="389">
        <f t="shared" ref="X7:X70" si="5">ABS(O7-Q7)/(O7+Q7)</f>
        <v>0.36491357310110761</v>
      </c>
      <c r="Y7" s="389">
        <f>(V7/T7)-(W7/T7)</f>
        <v>0.364438955818017</v>
      </c>
      <c r="Z7" s="390">
        <f t="shared" ref="Z7:Z70" si="6">V7/T7</f>
        <v>0.6815691632618206</v>
      </c>
      <c r="AA7" s="391" t="str">
        <f t="shared" ref="AA7:AA38" si="7">C7&amp;"-"&amp;IF(O7*Q7=0,"Yes","No")</f>
        <v>AL-No</v>
      </c>
      <c r="AB7" s="392" t="str">
        <f t="shared" ref="AB7:AB70" si="8">C7&amp;"-"&amp;IF(S7=MAX(O7:S7),"Other",IF(Q7&gt;O7,"Rep","Dem"))</f>
        <v>AL-Rep</v>
      </c>
      <c r="AC7" s="393" t="str">
        <f>C7&amp;"-"&amp;IF(Y7&gt;Instructions!$H$14,Instructions!$I$14,IF(Y7&gt;Instructions!$H$15,Instructions!$I$15,IF(Y7&gt;Instructions!$H$16,Instructions!$I$16,IF(Y7&gt;Instructions!$H$17,Instructions!$I$17,Instructions!$I$18))))</f>
        <v>AL-Landslide</v>
      </c>
      <c r="AD7" s="394">
        <f t="shared" ref="AD7:AD70" si="9">IF(V7=O7,0,O7)</f>
        <v>48278</v>
      </c>
      <c r="AE7" s="394">
        <f t="shared" ref="AE7:AE70" si="10">IF(V7=Q7,0,Q7)</f>
        <v>0</v>
      </c>
      <c r="AF7" s="395">
        <f t="shared" ref="AF7:AF70" si="11">IF(V7=S7,0,S7)</f>
        <v>198</v>
      </c>
      <c r="AG7" s="413">
        <f t="shared" ref="AG7:AG70" si="12">SUM(AD7:AF7)</f>
        <v>48476</v>
      </c>
      <c r="AH7" s="380"/>
    </row>
    <row r="8" spans="1:34">
      <c r="A8" s="352" t="s">
        <v>64</v>
      </c>
      <c r="B8" s="427">
        <v>2</v>
      </c>
      <c r="C8" s="220" t="s">
        <v>0</v>
      </c>
      <c r="D8" s="379" t="s">
        <v>388</v>
      </c>
      <c r="E8" s="379" t="s">
        <v>342</v>
      </c>
      <c r="F8"/>
      <c r="G8" s="379"/>
      <c r="H8"/>
      <c r="I8"/>
      <c r="J8" t="str">
        <f t="shared" si="0"/>
        <v>AL-Yes</v>
      </c>
      <c r="K8" t="str">
        <f t="shared" si="1"/>
        <v>AL-Yes</v>
      </c>
      <c r="L8" s="415"/>
      <c r="M8" s="415"/>
      <c r="N8" s="255">
        <v>2010</v>
      </c>
      <c r="O8" s="416">
        <v>54692</v>
      </c>
      <c r="P8" s="416"/>
      <c r="Q8" s="416">
        <v>113103</v>
      </c>
      <c r="R8" s="416"/>
      <c r="S8" s="416">
        <v>157</v>
      </c>
      <c r="T8" s="353">
        <f t="shared" si="2"/>
        <v>167952</v>
      </c>
      <c r="U8" s="228"/>
      <c r="V8" s="221">
        <f t="shared" si="3"/>
        <v>113103</v>
      </c>
      <c r="W8" s="388">
        <f t="shared" si="4"/>
        <v>54692</v>
      </c>
      <c r="X8" s="222">
        <f t="shared" si="5"/>
        <v>0.34810930003873775</v>
      </c>
      <c r="Y8" s="421">
        <f t="shared" ref="Y8:Y71" si="13">(V8/T8)-(W8/T8)</f>
        <v>0.34778389063541959</v>
      </c>
      <c r="Z8" s="223">
        <f t="shared" si="6"/>
        <v>0.67342454987139178</v>
      </c>
      <c r="AA8" s="224" t="str">
        <f t="shared" si="7"/>
        <v>AL-No</v>
      </c>
      <c r="AB8" s="225" t="str">
        <f t="shared" si="8"/>
        <v>AL-Rep</v>
      </c>
      <c r="AC8" s="422" t="str">
        <f>C8&amp;"-"&amp;IF(Y8&gt;Instructions!$H$14,Instructions!$I$14,IF(Y8&gt;Instructions!$H$15,Instructions!$I$15,IF(Y8&gt;Instructions!$H$16,Instructions!$I$16,IF(Y8&gt;Instructions!$H$17,Instructions!$I$17,Instructions!$I$18))))</f>
        <v>AL-Landslide</v>
      </c>
      <c r="AD8" s="226">
        <f t="shared" si="9"/>
        <v>54692</v>
      </c>
      <c r="AE8" s="226">
        <f t="shared" si="10"/>
        <v>0</v>
      </c>
      <c r="AF8" s="227">
        <f t="shared" si="11"/>
        <v>157</v>
      </c>
      <c r="AG8" s="341">
        <f t="shared" si="12"/>
        <v>54849</v>
      </c>
      <c r="AH8" s="380"/>
    </row>
    <row r="9" spans="1:34">
      <c r="A9" s="352" t="s">
        <v>64</v>
      </c>
      <c r="B9" s="427">
        <v>3</v>
      </c>
      <c r="C9" s="220" t="s">
        <v>0</v>
      </c>
      <c r="D9" s="379" t="s">
        <v>389</v>
      </c>
      <c r="E9"/>
      <c r="F9"/>
      <c r="G9"/>
      <c r="H9"/>
      <c r="I9"/>
      <c r="J9" t="str">
        <f t="shared" si="0"/>
        <v>AL-Yes</v>
      </c>
      <c r="K9" t="str">
        <f t="shared" si="1"/>
        <v>AL-Yes</v>
      </c>
      <c r="L9" s="352"/>
      <c r="M9" s="352"/>
      <c r="N9" s="255">
        <v>2002</v>
      </c>
      <c r="O9" s="416">
        <v>52816</v>
      </c>
      <c r="P9" s="416"/>
      <c r="Q9" s="416">
        <v>103558</v>
      </c>
      <c r="R9" s="416"/>
      <c r="S9" s="416">
        <v>246</v>
      </c>
      <c r="T9" s="353">
        <f t="shared" si="2"/>
        <v>156620</v>
      </c>
      <c r="U9" s="228"/>
      <c r="V9" s="221">
        <f t="shared" si="3"/>
        <v>103558</v>
      </c>
      <c r="W9" s="388">
        <f t="shared" si="4"/>
        <v>52816</v>
      </c>
      <c r="X9" s="222">
        <f t="shared" si="5"/>
        <v>0.32449128371724201</v>
      </c>
      <c r="Y9" s="421">
        <f t="shared" si="13"/>
        <v>0.32398161154386407</v>
      </c>
      <c r="Z9" s="223">
        <f t="shared" si="6"/>
        <v>0.6612054654577959</v>
      </c>
      <c r="AA9" s="224" t="str">
        <f t="shared" si="7"/>
        <v>AL-No</v>
      </c>
      <c r="AB9" s="225" t="str">
        <f t="shared" si="8"/>
        <v>AL-Rep</v>
      </c>
      <c r="AC9" s="422" t="str">
        <f>C9&amp;"-"&amp;IF(Y9&gt;Instructions!$H$14,Instructions!$I$14,IF(Y9&gt;Instructions!$H$15,Instructions!$I$15,IF(Y9&gt;Instructions!$H$16,Instructions!$I$16,IF(Y9&gt;Instructions!$H$17,Instructions!$I$17,Instructions!$I$18))))</f>
        <v>AL-Landslide</v>
      </c>
      <c r="AD9" s="226">
        <f t="shared" si="9"/>
        <v>52816</v>
      </c>
      <c r="AE9" s="226">
        <f t="shared" si="10"/>
        <v>0</v>
      </c>
      <c r="AF9" s="227">
        <f t="shared" si="11"/>
        <v>246</v>
      </c>
      <c r="AG9" s="341">
        <f t="shared" si="12"/>
        <v>53062</v>
      </c>
    </row>
    <row r="10" spans="1:34">
      <c r="A10" s="352" t="s">
        <v>64</v>
      </c>
      <c r="B10" s="427">
        <v>4</v>
      </c>
      <c r="C10" s="220" t="s">
        <v>0</v>
      </c>
      <c r="D10" s="379" t="s">
        <v>390</v>
      </c>
      <c r="E10"/>
      <c r="F10"/>
      <c r="G10"/>
      <c r="H10"/>
      <c r="I10"/>
      <c r="J10" t="str">
        <f t="shared" si="0"/>
        <v>AL-Yes</v>
      </c>
      <c r="K10" t="str">
        <f t="shared" si="1"/>
        <v>AL-Yes</v>
      </c>
      <c r="L10" s="415"/>
      <c r="M10" s="415"/>
      <c r="N10" s="255">
        <v>1996</v>
      </c>
      <c r="O10" s="416">
        <v>0</v>
      </c>
      <c r="P10" s="416"/>
      <c r="Q10" s="416">
        <v>132831</v>
      </c>
      <c r="R10" s="416"/>
      <c r="S10" s="416">
        <v>1921</v>
      </c>
      <c r="T10" s="353">
        <f t="shared" si="2"/>
        <v>134752</v>
      </c>
      <c r="U10" s="228"/>
      <c r="V10" s="221">
        <f t="shared" si="3"/>
        <v>132831</v>
      </c>
      <c r="W10" s="388">
        <f t="shared" si="4"/>
        <v>1921</v>
      </c>
      <c r="X10" s="222">
        <f t="shared" si="5"/>
        <v>1</v>
      </c>
      <c r="Y10" s="421">
        <f t="shared" si="13"/>
        <v>0.97148836380907144</v>
      </c>
      <c r="Z10" s="223">
        <f t="shared" si="6"/>
        <v>0.98574418190453572</v>
      </c>
      <c r="AA10" s="224" t="str">
        <f t="shared" si="7"/>
        <v>AL-Yes</v>
      </c>
      <c r="AB10" s="225" t="str">
        <f t="shared" si="8"/>
        <v>AL-Rep</v>
      </c>
      <c r="AC10" s="422" t="str">
        <f>C10&amp;"-"&amp;IF(Y10&gt;Instructions!$H$14,Instructions!$I$14,IF(Y10&gt;Instructions!$H$15,Instructions!$I$15,IF(Y10&gt;Instructions!$H$16,Instructions!$I$16,IF(Y10&gt;Instructions!$H$17,Instructions!$I$17,Instructions!$I$18))))</f>
        <v>AL-No contest</v>
      </c>
      <c r="AD10" s="226">
        <f t="shared" si="9"/>
        <v>0</v>
      </c>
      <c r="AE10" s="226">
        <f t="shared" si="10"/>
        <v>0</v>
      </c>
      <c r="AF10" s="227">
        <f t="shared" si="11"/>
        <v>1921</v>
      </c>
      <c r="AG10" s="341">
        <f t="shared" si="12"/>
        <v>1921</v>
      </c>
    </row>
    <row r="11" spans="1:34">
      <c r="A11" s="352" t="s">
        <v>64</v>
      </c>
      <c r="B11" s="427">
        <v>5</v>
      </c>
      <c r="C11" s="220" t="s">
        <v>0</v>
      </c>
      <c r="D11" s="379" t="s">
        <v>391</v>
      </c>
      <c r="E11" s="379"/>
      <c r="F11"/>
      <c r="G11"/>
      <c r="H11"/>
      <c r="I11"/>
      <c r="J11" t="str">
        <f t="shared" si="0"/>
        <v>AL-Yes</v>
      </c>
      <c r="K11" t="str">
        <f t="shared" si="1"/>
        <v>AL-Yes</v>
      </c>
      <c r="L11" s="352"/>
      <c r="M11" s="352"/>
      <c r="N11" s="255">
        <v>2010</v>
      </c>
      <c r="O11" s="416">
        <v>0</v>
      </c>
      <c r="P11" s="416"/>
      <c r="Q11" s="416">
        <v>115338</v>
      </c>
      <c r="R11" s="416"/>
      <c r="S11" s="416">
        <v>39636</v>
      </c>
      <c r="T11" s="353">
        <f t="shared" si="2"/>
        <v>154974</v>
      </c>
      <c r="U11" s="228"/>
      <c r="V11" s="221">
        <f t="shared" si="3"/>
        <v>115338</v>
      </c>
      <c r="W11" s="388">
        <f t="shared" si="4"/>
        <v>39636</v>
      </c>
      <c r="X11" s="222">
        <f t="shared" si="5"/>
        <v>1</v>
      </c>
      <c r="Y11" s="421">
        <f t="shared" si="13"/>
        <v>0.48848193890588099</v>
      </c>
      <c r="Z11" s="223">
        <f t="shared" si="6"/>
        <v>0.74424096945294049</v>
      </c>
      <c r="AA11" s="224" t="str">
        <f t="shared" si="7"/>
        <v>AL-Yes</v>
      </c>
      <c r="AB11" s="225" t="str">
        <f t="shared" si="8"/>
        <v>AL-Rep</v>
      </c>
      <c r="AC11" s="422" t="str">
        <f>C11&amp;"-"&amp;IF(Y11&gt;Instructions!$H$14,Instructions!$I$14,IF(Y11&gt;Instructions!$H$15,Instructions!$I$15,IF(Y11&gt;Instructions!$H$16,Instructions!$I$16,IF(Y11&gt;Instructions!$H$17,Instructions!$I$17,Instructions!$I$18))))</f>
        <v>AL-No contest</v>
      </c>
      <c r="AD11" s="226">
        <f t="shared" si="9"/>
        <v>0</v>
      </c>
      <c r="AE11" s="226">
        <f t="shared" si="10"/>
        <v>0</v>
      </c>
      <c r="AF11" s="227">
        <f t="shared" si="11"/>
        <v>39636</v>
      </c>
      <c r="AG11" s="341">
        <f t="shared" si="12"/>
        <v>39636</v>
      </c>
    </row>
    <row r="12" spans="1:34">
      <c r="A12" s="352" t="s">
        <v>64</v>
      </c>
      <c r="B12" s="427">
        <v>6</v>
      </c>
      <c r="C12" s="220" t="s">
        <v>0</v>
      </c>
      <c r="D12" s="379" t="s">
        <v>761</v>
      </c>
      <c r="E12" s="379"/>
      <c r="F12"/>
      <c r="G12"/>
      <c r="H12"/>
      <c r="I12"/>
      <c r="J12" t="str">
        <f t="shared" si="0"/>
        <v>AL-No</v>
      </c>
      <c r="K12" t="str">
        <f t="shared" si="1"/>
        <v>AL-No</v>
      </c>
      <c r="L12" s="415">
        <v>0</v>
      </c>
      <c r="M12" s="415"/>
      <c r="N12" s="255">
        <v>2014</v>
      </c>
      <c r="O12" s="416">
        <v>42291</v>
      </c>
      <c r="P12" s="416"/>
      <c r="Q12" s="416">
        <v>135945</v>
      </c>
      <c r="R12" s="416"/>
      <c r="S12" s="416">
        <v>213</v>
      </c>
      <c r="T12" s="353">
        <f t="shared" si="2"/>
        <v>178449</v>
      </c>
      <c r="U12" s="228"/>
      <c r="V12" s="221">
        <f t="shared" si="3"/>
        <v>135945</v>
      </c>
      <c r="W12" s="388">
        <f t="shared" si="4"/>
        <v>42291</v>
      </c>
      <c r="X12" s="222">
        <f t="shared" si="5"/>
        <v>0.52544940416077557</v>
      </c>
      <c r="Y12" s="421">
        <f t="shared" si="13"/>
        <v>0.5248222181127381</v>
      </c>
      <c r="Z12" s="223">
        <f t="shared" si="6"/>
        <v>0.76181429988400051</v>
      </c>
      <c r="AA12" s="224" t="str">
        <f t="shared" si="7"/>
        <v>AL-No</v>
      </c>
      <c r="AB12" s="225" t="str">
        <f t="shared" si="8"/>
        <v>AL-Rep</v>
      </c>
      <c r="AC12" s="422" t="str">
        <f>C12&amp;"-"&amp;IF(Y12&gt;Instructions!$H$14,Instructions!$I$14,IF(Y12&gt;Instructions!$H$15,Instructions!$I$15,IF(Y12&gt;Instructions!$H$16,Instructions!$I$16,IF(Y12&gt;Instructions!$H$17,Instructions!$I$17,Instructions!$I$18))))</f>
        <v>AL-No contest</v>
      </c>
      <c r="AD12" s="226">
        <f t="shared" si="9"/>
        <v>42291</v>
      </c>
      <c r="AE12" s="226">
        <f t="shared" si="10"/>
        <v>0</v>
      </c>
      <c r="AF12" s="227">
        <f t="shared" si="11"/>
        <v>213</v>
      </c>
      <c r="AG12" s="341">
        <f t="shared" si="12"/>
        <v>42504</v>
      </c>
    </row>
    <row r="13" spans="1:34">
      <c r="A13" s="352" t="s">
        <v>64</v>
      </c>
      <c r="B13" s="427">
        <v>7</v>
      </c>
      <c r="C13" s="220" t="s">
        <v>0</v>
      </c>
      <c r="D13" s="379" t="s">
        <v>392</v>
      </c>
      <c r="E13" t="s">
        <v>342</v>
      </c>
      <c r="F13" t="s">
        <v>342</v>
      </c>
      <c r="G13"/>
      <c r="H13"/>
      <c r="I13"/>
      <c r="J13" t="str">
        <f t="shared" si="0"/>
        <v>AL-Yes</v>
      </c>
      <c r="K13" t="str">
        <f t="shared" si="1"/>
        <v>AL-Yes</v>
      </c>
      <c r="L13" s="415"/>
      <c r="M13" s="415"/>
      <c r="N13" s="255">
        <v>2010</v>
      </c>
      <c r="O13" s="416">
        <v>133687</v>
      </c>
      <c r="P13" s="416"/>
      <c r="Q13" s="416">
        <v>0</v>
      </c>
      <c r="R13" s="416"/>
      <c r="S13" s="416">
        <v>2212</v>
      </c>
      <c r="T13" s="353">
        <f t="shared" si="2"/>
        <v>135899</v>
      </c>
      <c r="U13" s="396"/>
      <c r="V13" s="221">
        <f t="shared" si="3"/>
        <v>133687</v>
      </c>
      <c r="W13" s="388">
        <f t="shared" si="4"/>
        <v>2212</v>
      </c>
      <c r="X13" s="222">
        <f t="shared" si="5"/>
        <v>1</v>
      </c>
      <c r="Y13" s="421">
        <f t="shared" si="13"/>
        <v>0.96744641240921569</v>
      </c>
      <c r="Z13" s="223">
        <f t="shared" si="6"/>
        <v>0.98372320620460785</v>
      </c>
      <c r="AA13" s="224" t="str">
        <f t="shared" si="7"/>
        <v>AL-Yes</v>
      </c>
      <c r="AB13" s="225" t="str">
        <f t="shared" si="8"/>
        <v>AL-Dem</v>
      </c>
      <c r="AC13" s="422" t="str">
        <f>C13&amp;"-"&amp;IF(Y13&gt;Instructions!$H$14,Instructions!$I$14,IF(Y13&gt;Instructions!$H$15,Instructions!$I$15,IF(Y13&gt;Instructions!$H$16,Instructions!$I$16,IF(Y13&gt;Instructions!$H$17,Instructions!$I$17,Instructions!$I$18))))</f>
        <v>AL-No contest</v>
      </c>
      <c r="AD13" s="226">
        <f t="shared" si="9"/>
        <v>0</v>
      </c>
      <c r="AE13" s="226">
        <f t="shared" si="10"/>
        <v>0</v>
      </c>
      <c r="AF13" s="227">
        <f t="shared" si="11"/>
        <v>2212</v>
      </c>
      <c r="AG13" s="341">
        <f t="shared" si="12"/>
        <v>2212</v>
      </c>
      <c r="AH13" s="413">
        <f>SUM(AG7:AG13)</f>
        <v>242660</v>
      </c>
    </row>
    <row r="14" spans="1:34">
      <c r="A14" s="352" t="s">
        <v>65</v>
      </c>
      <c r="B14" s="426" t="s">
        <v>0</v>
      </c>
      <c r="C14" s="220" t="s">
        <v>1</v>
      </c>
      <c r="D14" s="379" t="s">
        <v>393</v>
      </c>
      <c r="E14"/>
      <c r="F14"/>
      <c r="G14"/>
      <c r="H14"/>
      <c r="I14"/>
      <c r="J14" t="str">
        <f t="shared" si="0"/>
        <v>AK-Yes</v>
      </c>
      <c r="K14" t="str">
        <f t="shared" si="1"/>
        <v>AK-Yes</v>
      </c>
      <c r="L14" s="415"/>
      <c r="M14" s="415"/>
      <c r="N14" s="255">
        <v>1973</v>
      </c>
      <c r="O14" s="416">
        <v>114596</v>
      </c>
      <c r="P14" s="353"/>
      <c r="Q14" s="416">
        <v>142566</v>
      </c>
      <c r="R14" s="416"/>
      <c r="S14" s="416">
        <v>22563</v>
      </c>
      <c r="T14" s="353">
        <f t="shared" si="2"/>
        <v>279725</v>
      </c>
      <c r="U14" s="396"/>
      <c r="V14" s="221">
        <f t="shared" si="3"/>
        <v>142566</v>
      </c>
      <c r="W14" s="388">
        <f t="shared" si="4"/>
        <v>114596</v>
      </c>
      <c r="X14" s="222">
        <f t="shared" si="5"/>
        <v>0.108764125337336</v>
      </c>
      <c r="Y14" s="421">
        <f t="shared" si="13"/>
        <v>9.9991062650817752E-2</v>
      </c>
      <c r="Z14" s="223">
        <f t="shared" si="6"/>
        <v>0.50966484940566625</v>
      </c>
      <c r="AA14" s="224" t="str">
        <f t="shared" si="7"/>
        <v>AK-No</v>
      </c>
      <c r="AB14" s="225" t="str">
        <f t="shared" si="8"/>
        <v>AK-Rep</v>
      </c>
      <c r="AC14" s="422" t="str">
        <f>C14&amp;"-"&amp;IF(Y14&gt;Instructions!$H$14,Instructions!$I$14,IF(Y14&gt;Instructions!$H$15,Instructions!$I$15,IF(Y14&gt;Instructions!$H$16,Instructions!$I$16,IF(Y14&gt;Instructions!$H$17,Instructions!$I$17,Instructions!$I$18))))</f>
        <v>AK-Competitive</v>
      </c>
      <c r="AD14" s="226">
        <f t="shared" si="9"/>
        <v>114596</v>
      </c>
      <c r="AE14" s="226">
        <f t="shared" si="10"/>
        <v>0</v>
      </c>
      <c r="AF14" s="227">
        <f t="shared" si="11"/>
        <v>22563</v>
      </c>
      <c r="AG14" s="341">
        <f t="shared" si="12"/>
        <v>137159</v>
      </c>
      <c r="AH14" s="413">
        <f>SUM(AG14)</f>
        <v>137159</v>
      </c>
    </row>
    <row r="15" spans="1:34">
      <c r="A15" s="352" t="s">
        <v>66</v>
      </c>
      <c r="B15" s="427">
        <v>1</v>
      </c>
      <c r="C15" s="220" t="s">
        <v>2</v>
      </c>
      <c r="D15" s="379" t="s">
        <v>394</v>
      </c>
      <c r="E15" s="379" t="s">
        <v>343</v>
      </c>
      <c r="F15" s="379"/>
      <c r="G15"/>
      <c r="H15"/>
      <c r="I15"/>
      <c r="J15" t="str">
        <f t="shared" si="0"/>
        <v>AZ-Yes</v>
      </c>
      <c r="K15" t="str">
        <f t="shared" si="1"/>
        <v>AZ-Yes</v>
      </c>
      <c r="L15" s="417"/>
      <c r="M15" s="417"/>
      <c r="N15" s="443">
        <v>2012</v>
      </c>
      <c r="O15" s="416">
        <v>97391</v>
      </c>
      <c r="P15" s="416"/>
      <c r="Q15" s="416">
        <v>87723</v>
      </c>
      <c r="R15" s="416"/>
      <c r="S15" s="416">
        <v>0</v>
      </c>
      <c r="T15" s="353">
        <f t="shared" si="2"/>
        <v>185114</v>
      </c>
      <c r="U15" s="228"/>
      <c r="V15" s="221">
        <f t="shared" si="3"/>
        <v>97391</v>
      </c>
      <c r="W15" s="388">
        <f t="shared" si="4"/>
        <v>87723</v>
      </c>
      <c r="X15" s="222">
        <f t="shared" si="5"/>
        <v>5.2227276164957807E-2</v>
      </c>
      <c r="Y15" s="421">
        <f t="shared" si="13"/>
        <v>5.2227276164957814E-2</v>
      </c>
      <c r="Z15" s="223">
        <f t="shared" si="6"/>
        <v>0.52611363808247891</v>
      </c>
      <c r="AA15" s="224" t="str">
        <f t="shared" si="7"/>
        <v>AZ-No</v>
      </c>
      <c r="AB15" s="225" t="str">
        <f t="shared" si="8"/>
        <v>AZ-Dem</v>
      </c>
      <c r="AC15" s="422" t="str">
        <f>C15&amp;"-"&amp;IF(Y15&gt;Instructions!$H$14,Instructions!$I$14,IF(Y15&gt;Instructions!$H$15,Instructions!$I$15,IF(Y15&gt;Instructions!$H$16,Instructions!$I$16,IF(Y15&gt;Instructions!$H$17,Instructions!$I$17,Instructions!$I$18))))</f>
        <v>AZ-Competitive</v>
      </c>
      <c r="AD15" s="226">
        <f t="shared" si="9"/>
        <v>0</v>
      </c>
      <c r="AE15" s="226">
        <f t="shared" si="10"/>
        <v>87723</v>
      </c>
      <c r="AF15" s="227">
        <f t="shared" si="11"/>
        <v>0</v>
      </c>
      <c r="AG15" s="341">
        <f t="shared" si="12"/>
        <v>87723</v>
      </c>
      <c r="AH15" s="380"/>
    </row>
    <row r="16" spans="1:34">
      <c r="A16" s="352" t="s">
        <v>66</v>
      </c>
      <c r="B16" s="427">
        <v>2</v>
      </c>
      <c r="C16" s="220" t="s">
        <v>2</v>
      </c>
      <c r="D16" s="379" t="s">
        <v>762</v>
      </c>
      <c r="E16" s="379" t="s">
        <v>343</v>
      </c>
      <c r="F16" s="379"/>
      <c r="G16"/>
      <c r="H16"/>
      <c r="I16"/>
      <c r="J16" t="str">
        <f t="shared" si="0"/>
        <v>AZ-Yes</v>
      </c>
      <c r="K16" t="str">
        <f t="shared" si="1"/>
        <v>AZ-No</v>
      </c>
      <c r="L16" s="417">
        <v>1</v>
      </c>
      <c r="M16" s="417">
        <v>1</v>
      </c>
      <c r="N16" s="443">
        <v>2014</v>
      </c>
      <c r="O16" s="416">
        <v>109543</v>
      </c>
      <c r="P16" s="416"/>
      <c r="Q16" s="416">
        <v>109704</v>
      </c>
      <c r="R16" s="416"/>
      <c r="S16" s="416">
        <v>104</v>
      </c>
      <c r="T16" s="353">
        <f t="shared" si="2"/>
        <v>219351</v>
      </c>
      <c r="U16" s="228"/>
      <c r="V16" s="221">
        <f t="shared" si="3"/>
        <v>109704</v>
      </c>
      <c r="W16" s="388">
        <f t="shared" si="4"/>
        <v>109543</v>
      </c>
      <c r="X16" s="222">
        <f t="shared" si="5"/>
        <v>7.3433159860796275E-4</v>
      </c>
      <c r="Y16" s="421">
        <f t="shared" si="13"/>
        <v>7.3398343294533985E-4</v>
      </c>
      <c r="Z16" s="223">
        <f t="shared" si="6"/>
        <v>0.50012992874434126</v>
      </c>
      <c r="AA16" s="224" t="str">
        <f t="shared" si="7"/>
        <v>AZ-No</v>
      </c>
      <c r="AB16" s="225" t="str">
        <f t="shared" si="8"/>
        <v>AZ-Rep</v>
      </c>
      <c r="AC16" s="422" t="str">
        <f>C16&amp;"-"&amp;IF(Y16&gt;Instructions!$H$14,Instructions!$I$14,IF(Y16&gt;Instructions!$H$15,Instructions!$I$15,IF(Y16&gt;Instructions!$H$16,Instructions!$I$16,IF(Y16&gt;Instructions!$H$17,Instructions!$I$17,Instructions!$I$18))))</f>
        <v>AZ-Tight</v>
      </c>
      <c r="AD16" s="226">
        <f t="shared" si="9"/>
        <v>109543</v>
      </c>
      <c r="AE16" s="226">
        <f t="shared" si="10"/>
        <v>0</v>
      </c>
      <c r="AF16" s="227">
        <f t="shared" si="11"/>
        <v>104</v>
      </c>
      <c r="AG16" s="341">
        <f t="shared" si="12"/>
        <v>109647</v>
      </c>
    </row>
    <row r="17" spans="1:34">
      <c r="A17" s="352" t="s">
        <v>66</v>
      </c>
      <c r="B17" s="427">
        <v>3</v>
      </c>
      <c r="C17" s="220" t="s">
        <v>2</v>
      </c>
      <c r="D17" s="379" t="s">
        <v>395</v>
      </c>
      <c r="E17"/>
      <c r="F17" s="379"/>
      <c r="G17" t="s">
        <v>343</v>
      </c>
      <c r="H17"/>
      <c r="I17"/>
      <c r="J17" t="str">
        <f t="shared" si="0"/>
        <v>AZ-Yes</v>
      </c>
      <c r="K17" t="str">
        <f t="shared" si="1"/>
        <v>AZ-Yes</v>
      </c>
      <c r="L17" s="415"/>
      <c r="M17" s="415"/>
      <c r="N17" s="443">
        <v>2002</v>
      </c>
      <c r="O17" s="416">
        <v>58192</v>
      </c>
      <c r="P17" s="416"/>
      <c r="Q17" s="416">
        <v>46185</v>
      </c>
      <c r="R17" s="416"/>
      <c r="S17" s="416">
        <v>51</v>
      </c>
      <c r="T17" s="353">
        <f t="shared" si="2"/>
        <v>104428</v>
      </c>
      <c r="U17" s="396"/>
      <c r="V17" s="221">
        <f t="shared" si="3"/>
        <v>58192</v>
      </c>
      <c r="W17" s="388">
        <f t="shared" si="4"/>
        <v>46185</v>
      </c>
      <c r="X17" s="222">
        <f t="shared" si="5"/>
        <v>0.11503492148653439</v>
      </c>
      <c r="Y17" s="421">
        <f t="shared" si="13"/>
        <v>0.11497874133374186</v>
      </c>
      <c r="Z17" s="223">
        <f t="shared" si="6"/>
        <v>0.5572451832841766</v>
      </c>
      <c r="AA17" s="224" t="str">
        <f t="shared" si="7"/>
        <v>AZ-No</v>
      </c>
      <c r="AB17" s="225" t="str">
        <f t="shared" si="8"/>
        <v>AZ-Dem</v>
      </c>
      <c r="AC17" s="422" t="str">
        <f>C17&amp;"-"&amp;IF(Y17&gt;Instructions!$H$14,Instructions!$I$14,IF(Y17&gt;Instructions!$H$15,Instructions!$I$15,IF(Y17&gt;Instructions!$H$16,Instructions!$I$16,IF(Y17&gt;Instructions!$H$17,Instructions!$I$17,Instructions!$I$18))))</f>
        <v>AZ-Opportunity</v>
      </c>
      <c r="AD17" s="226">
        <f t="shared" si="9"/>
        <v>0</v>
      </c>
      <c r="AE17" s="226">
        <f t="shared" si="10"/>
        <v>46185</v>
      </c>
      <c r="AF17" s="227">
        <f t="shared" si="11"/>
        <v>51</v>
      </c>
      <c r="AG17" s="341">
        <f t="shared" si="12"/>
        <v>46236</v>
      </c>
      <c r="AH17" s="380"/>
    </row>
    <row r="18" spans="1:34">
      <c r="A18" s="352" t="s">
        <v>66</v>
      </c>
      <c r="B18" s="427">
        <v>4</v>
      </c>
      <c r="C18" s="220" t="s">
        <v>2</v>
      </c>
      <c r="D18" s="379" t="s">
        <v>396</v>
      </c>
      <c r="E18" s="379"/>
      <c r="F18"/>
      <c r="G18" s="381"/>
      <c r="H18"/>
      <c r="I18"/>
      <c r="J18" t="str">
        <f t="shared" si="0"/>
        <v>AZ-Yes</v>
      </c>
      <c r="K18" t="str">
        <f t="shared" si="1"/>
        <v>AZ-Yes</v>
      </c>
      <c r="L18" s="352"/>
      <c r="M18" s="352"/>
      <c r="N18" s="443">
        <v>2010</v>
      </c>
      <c r="O18" s="416">
        <v>45179</v>
      </c>
      <c r="P18" s="416"/>
      <c r="Q18" s="416">
        <v>122560</v>
      </c>
      <c r="R18" s="416"/>
      <c r="S18" s="416">
        <v>7440</v>
      </c>
      <c r="T18" s="353">
        <f t="shared" si="2"/>
        <v>175179</v>
      </c>
      <c r="U18" s="396"/>
      <c r="V18" s="221">
        <f t="shared" si="3"/>
        <v>122560</v>
      </c>
      <c r="W18" s="388">
        <f t="shared" si="4"/>
        <v>45179</v>
      </c>
      <c r="X18" s="222">
        <f t="shared" si="5"/>
        <v>0.4613178807552209</v>
      </c>
      <c r="Y18" s="421">
        <f t="shared" si="13"/>
        <v>0.44172532095742068</v>
      </c>
      <c r="Z18" s="223">
        <f t="shared" si="6"/>
        <v>0.69962723842469698</v>
      </c>
      <c r="AA18" s="224" t="str">
        <f t="shared" si="7"/>
        <v>AZ-No</v>
      </c>
      <c r="AB18" s="225" t="str">
        <f t="shared" si="8"/>
        <v>AZ-Rep</v>
      </c>
      <c r="AC18" s="422" t="str">
        <f>C18&amp;"-"&amp;IF(Y18&gt;Instructions!$H$14,Instructions!$I$14,IF(Y18&gt;Instructions!$H$15,Instructions!$I$15,IF(Y18&gt;Instructions!$H$16,Instructions!$I$16,IF(Y18&gt;Instructions!$H$17,Instructions!$I$17,Instructions!$I$18))))</f>
        <v>AZ-No contest</v>
      </c>
      <c r="AD18" s="226">
        <f t="shared" si="9"/>
        <v>45179</v>
      </c>
      <c r="AE18" s="226">
        <f t="shared" si="10"/>
        <v>0</v>
      </c>
      <c r="AF18" s="227">
        <f t="shared" si="11"/>
        <v>7440</v>
      </c>
      <c r="AG18" s="341">
        <f t="shared" si="12"/>
        <v>52619</v>
      </c>
      <c r="AH18" s="380"/>
    </row>
    <row r="19" spans="1:34">
      <c r="A19" s="352" t="s">
        <v>66</v>
      </c>
      <c r="B19" s="427">
        <v>5</v>
      </c>
      <c r="C19" s="220" t="s">
        <v>2</v>
      </c>
      <c r="D19" s="379" t="s">
        <v>397</v>
      </c>
      <c r="E19" s="379"/>
      <c r="F19"/>
      <c r="G19"/>
      <c r="H19"/>
      <c r="I19"/>
      <c r="J19" t="str">
        <f t="shared" si="0"/>
        <v>AZ-Yes</v>
      </c>
      <c r="K19" t="str">
        <f t="shared" si="1"/>
        <v>AZ-Yes</v>
      </c>
      <c r="L19" s="352"/>
      <c r="M19" s="352"/>
      <c r="N19" s="443">
        <v>2012</v>
      </c>
      <c r="O19" s="416">
        <v>54596</v>
      </c>
      <c r="P19" s="416"/>
      <c r="Q19" s="416">
        <v>124867</v>
      </c>
      <c r="R19" s="416"/>
      <c r="S19" s="416">
        <v>0</v>
      </c>
      <c r="T19" s="353">
        <f t="shared" si="2"/>
        <v>179463</v>
      </c>
      <c r="U19" s="228"/>
      <c r="V19" s="221">
        <f t="shared" si="3"/>
        <v>124867</v>
      </c>
      <c r="W19" s="388">
        <f t="shared" si="4"/>
        <v>54596</v>
      </c>
      <c r="X19" s="222">
        <f t="shared" si="5"/>
        <v>0.39156260621966643</v>
      </c>
      <c r="Y19" s="421">
        <f t="shared" si="13"/>
        <v>0.39156260621966643</v>
      </c>
      <c r="Z19" s="223">
        <f t="shared" si="6"/>
        <v>0.69578130310983322</v>
      </c>
      <c r="AA19" s="224" t="str">
        <f t="shared" si="7"/>
        <v>AZ-No</v>
      </c>
      <c r="AB19" s="225" t="str">
        <f t="shared" si="8"/>
        <v>AZ-Rep</v>
      </c>
      <c r="AC19" s="422" t="str">
        <f>C19&amp;"-"&amp;IF(Y19&gt;Instructions!$H$14,Instructions!$I$14,IF(Y19&gt;Instructions!$H$15,Instructions!$I$15,IF(Y19&gt;Instructions!$H$16,Instructions!$I$16,IF(Y19&gt;Instructions!$H$17,Instructions!$I$17,Instructions!$I$18))))</f>
        <v>AZ-Landslide</v>
      </c>
      <c r="AD19" s="226">
        <f t="shared" si="9"/>
        <v>54596</v>
      </c>
      <c r="AE19" s="226">
        <f t="shared" si="10"/>
        <v>0</v>
      </c>
      <c r="AF19" s="227">
        <f t="shared" si="11"/>
        <v>0</v>
      </c>
      <c r="AG19" s="341">
        <f t="shared" si="12"/>
        <v>54596</v>
      </c>
      <c r="AH19" s="380"/>
    </row>
    <row r="20" spans="1:34">
      <c r="A20" s="352" t="s">
        <v>66</v>
      </c>
      <c r="B20" s="427">
        <v>6</v>
      </c>
      <c r="C20" s="220" t="s">
        <v>2</v>
      </c>
      <c r="D20" s="379" t="s">
        <v>398</v>
      </c>
      <c r="E20"/>
      <c r="F20"/>
      <c r="G20"/>
      <c r="H20"/>
      <c r="I20"/>
      <c r="J20" t="str">
        <f t="shared" si="0"/>
        <v>AZ-Yes</v>
      </c>
      <c r="K20" t="str">
        <f t="shared" si="1"/>
        <v>AZ-Yes</v>
      </c>
      <c r="L20" s="415"/>
      <c r="M20" s="415"/>
      <c r="N20" s="443">
        <v>2010</v>
      </c>
      <c r="O20" s="416">
        <v>70198</v>
      </c>
      <c r="P20" s="416"/>
      <c r="Q20" s="416">
        <v>129578</v>
      </c>
      <c r="R20" s="416"/>
      <c r="S20" s="416">
        <v>0</v>
      </c>
      <c r="T20" s="353">
        <f t="shared" si="2"/>
        <v>199776</v>
      </c>
      <c r="U20" s="396"/>
      <c r="V20" s="221">
        <f t="shared" si="3"/>
        <v>129578</v>
      </c>
      <c r="W20" s="388">
        <f t="shared" si="4"/>
        <v>70198</v>
      </c>
      <c r="X20" s="222">
        <f t="shared" si="5"/>
        <v>0.29723290084895082</v>
      </c>
      <c r="Y20" s="421">
        <f t="shared" si="13"/>
        <v>0.29723290084895088</v>
      </c>
      <c r="Z20" s="223">
        <f t="shared" si="6"/>
        <v>0.64861645042447547</v>
      </c>
      <c r="AA20" s="224" t="str">
        <f t="shared" si="7"/>
        <v>AZ-No</v>
      </c>
      <c r="AB20" s="225" t="str">
        <f t="shared" si="8"/>
        <v>AZ-Rep</v>
      </c>
      <c r="AC20" s="422" t="str">
        <f>C20&amp;"-"&amp;IF(Y20&gt;Instructions!$H$14,Instructions!$I$14,IF(Y20&gt;Instructions!$H$15,Instructions!$I$15,IF(Y20&gt;Instructions!$H$16,Instructions!$I$16,IF(Y20&gt;Instructions!$H$17,Instructions!$I$17,Instructions!$I$18))))</f>
        <v>AZ-Landslide</v>
      </c>
      <c r="AD20" s="226">
        <f t="shared" si="9"/>
        <v>70198</v>
      </c>
      <c r="AE20" s="226">
        <f t="shared" si="10"/>
        <v>0</v>
      </c>
      <c r="AF20" s="227">
        <f t="shared" si="11"/>
        <v>0</v>
      </c>
      <c r="AG20" s="341">
        <f t="shared" si="12"/>
        <v>70198</v>
      </c>
    </row>
    <row r="21" spans="1:34">
      <c r="A21" s="352" t="s">
        <v>66</v>
      </c>
      <c r="B21" s="427">
        <v>7</v>
      </c>
      <c r="C21" s="220" t="s">
        <v>2</v>
      </c>
      <c r="D21" s="379" t="s">
        <v>763</v>
      </c>
      <c r="E21"/>
      <c r="F21"/>
      <c r="G21" t="s">
        <v>343</v>
      </c>
      <c r="H21"/>
      <c r="I21"/>
      <c r="J21" t="str">
        <f t="shared" si="0"/>
        <v>AZ-No</v>
      </c>
      <c r="K21" t="str">
        <f t="shared" si="1"/>
        <v>AZ-No</v>
      </c>
      <c r="L21" s="415">
        <v>0</v>
      </c>
      <c r="M21" s="415"/>
      <c r="N21" s="443">
        <v>2014</v>
      </c>
      <c r="O21" s="416">
        <v>54235</v>
      </c>
      <c r="P21" s="416"/>
      <c r="Q21" s="416">
        <v>0</v>
      </c>
      <c r="R21" s="416"/>
      <c r="S21" s="416">
        <v>18219</v>
      </c>
      <c r="T21" s="353">
        <f t="shared" si="2"/>
        <v>72454</v>
      </c>
      <c r="U21" s="228"/>
      <c r="V21" s="221">
        <f t="shared" si="3"/>
        <v>54235</v>
      </c>
      <c r="W21" s="388">
        <v>10715</v>
      </c>
      <c r="X21" s="222">
        <f t="shared" si="5"/>
        <v>1</v>
      </c>
      <c r="Y21" s="421">
        <f t="shared" si="13"/>
        <v>0.60065696855936179</v>
      </c>
      <c r="Z21" s="223">
        <f t="shared" si="6"/>
        <v>0.74854390371822122</v>
      </c>
      <c r="AA21" s="224" t="str">
        <f t="shared" si="7"/>
        <v>AZ-Yes</v>
      </c>
      <c r="AB21" s="225" t="str">
        <f t="shared" si="8"/>
        <v>AZ-Dem</v>
      </c>
      <c r="AC21" s="422" t="str">
        <f>C21&amp;"-"&amp;IF(Y21&gt;Instructions!$H$14,Instructions!$I$14,IF(Y21&gt;Instructions!$H$15,Instructions!$I$15,IF(Y21&gt;Instructions!$H$16,Instructions!$I$16,IF(Y21&gt;Instructions!$H$17,Instructions!$I$17,Instructions!$I$18))))</f>
        <v>AZ-No contest</v>
      </c>
      <c r="AD21" s="226">
        <f t="shared" si="9"/>
        <v>0</v>
      </c>
      <c r="AE21" s="226">
        <f t="shared" si="10"/>
        <v>0</v>
      </c>
      <c r="AF21" s="227">
        <f t="shared" si="11"/>
        <v>18219</v>
      </c>
      <c r="AG21" s="341">
        <f t="shared" si="12"/>
        <v>18219</v>
      </c>
    </row>
    <row r="22" spans="1:34">
      <c r="A22" s="352" t="s">
        <v>66</v>
      </c>
      <c r="B22" s="427">
        <v>8</v>
      </c>
      <c r="C22" s="220" t="s">
        <v>2</v>
      </c>
      <c r="D22" s="379" t="s">
        <v>399</v>
      </c>
      <c r="E22"/>
      <c r="F22"/>
      <c r="G22"/>
      <c r="H22"/>
      <c r="I22"/>
      <c r="J22" t="str">
        <f t="shared" si="0"/>
        <v>AZ-Yes</v>
      </c>
      <c r="K22" t="str">
        <f t="shared" si="1"/>
        <v>AZ-Yes</v>
      </c>
      <c r="L22" s="415"/>
      <c r="M22" s="415"/>
      <c r="N22" s="443">
        <v>2002</v>
      </c>
      <c r="O22" s="416">
        <v>0</v>
      </c>
      <c r="P22" s="416"/>
      <c r="Q22" s="416">
        <v>128710</v>
      </c>
      <c r="R22" s="416"/>
      <c r="S22" s="416">
        <v>41066</v>
      </c>
      <c r="T22" s="353">
        <f t="shared" si="2"/>
        <v>169776</v>
      </c>
      <c r="U22" s="228"/>
      <c r="V22" s="221">
        <f t="shared" si="3"/>
        <v>128710</v>
      </c>
      <c r="W22" s="388">
        <f t="shared" si="4"/>
        <v>41066</v>
      </c>
      <c r="X22" s="222">
        <f t="shared" si="5"/>
        <v>1</v>
      </c>
      <c r="Y22" s="421">
        <f t="shared" si="13"/>
        <v>0.51623315427386673</v>
      </c>
      <c r="Z22" s="223">
        <f t="shared" si="6"/>
        <v>0.75811657713693337</v>
      </c>
      <c r="AA22" s="224" t="str">
        <f t="shared" si="7"/>
        <v>AZ-Yes</v>
      </c>
      <c r="AB22" s="225" t="str">
        <f t="shared" si="8"/>
        <v>AZ-Rep</v>
      </c>
      <c r="AC22" s="422" t="str">
        <f>C22&amp;"-"&amp;IF(Y22&gt;Instructions!$H$14,Instructions!$I$14,IF(Y22&gt;Instructions!$H$15,Instructions!$I$15,IF(Y22&gt;Instructions!$H$16,Instructions!$I$16,IF(Y22&gt;Instructions!$H$17,Instructions!$I$17,Instructions!$I$18))))</f>
        <v>AZ-No contest</v>
      </c>
      <c r="AD22" s="226">
        <f t="shared" si="9"/>
        <v>0</v>
      </c>
      <c r="AE22" s="226">
        <f t="shared" si="10"/>
        <v>0</v>
      </c>
      <c r="AF22" s="227">
        <f t="shared" si="11"/>
        <v>41066</v>
      </c>
      <c r="AG22" s="341">
        <f t="shared" si="12"/>
        <v>41066</v>
      </c>
      <c r="AH22" s="413">
        <f>SUM(AG15:AG22)</f>
        <v>480304</v>
      </c>
    </row>
    <row r="23" spans="1:34">
      <c r="A23" s="352" t="s">
        <v>66</v>
      </c>
      <c r="B23" s="427">
        <v>9</v>
      </c>
      <c r="C23" s="220" t="s">
        <v>2</v>
      </c>
      <c r="D23" s="379" t="s">
        <v>400</v>
      </c>
      <c r="E23" t="s">
        <v>343</v>
      </c>
      <c r="F23"/>
      <c r="G23"/>
      <c r="H23"/>
      <c r="I23"/>
      <c r="J23" t="str">
        <f t="shared" si="0"/>
        <v>AZ-Yes</v>
      </c>
      <c r="K23" t="str">
        <f t="shared" si="1"/>
        <v>AZ-Yes</v>
      </c>
      <c r="L23" s="415"/>
      <c r="M23" s="415"/>
      <c r="N23" s="443">
        <v>2012</v>
      </c>
      <c r="O23" s="416">
        <v>88609</v>
      </c>
      <c r="P23" s="416"/>
      <c r="Q23" s="416">
        <v>67841</v>
      </c>
      <c r="R23" s="416"/>
      <c r="S23" s="416">
        <v>5612</v>
      </c>
      <c r="T23" s="353">
        <f t="shared" si="2"/>
        <v>162062</v>
      </c>
      <c r="U23" s="228"/>
      <c r="V23" s="388">
        <f t="shared" si="3"/>
        <v>88609</v>
      </c>
      <c r="W23" s="388">
        <f t="shared" si="4"/>
        <v>67841</v>
      </c>
      <c r="X23" s="222">
        <f t="shared" si="5"/>
        <v>0.13274528603387664</v>
      </c>
      <c r="Y23" s="421">
        <f t="shared" si="13"/>
        <v>0.12814848638175513</v>
      </c>
      <c r="Z23" s="390">
        <f t="shared" si="6"/>
        <v>0.54675988202046133</v>
      </c>
      <c r="AA23" s="224" t="str">
        <f t="shared" si="7"/>
        <v>AZ-No</v>
      </c>
      <c r="AB23" s="392" t="str">
        <f t="shared" si="8"/>
        <v>AZ-Dem</v>
      </c>
      <c r="AC23" s="422" t="str">
        <f>C23&amp;"-"&amp;IF(Y23&gt;Instructions!$H$14,Instructions!$I$14,IF(Y23&gt;Instructions!$H$15,Instructions!$I$15,IF(Y23&gt;Instructions!$H$16,Instructions!$I$16,IF(Y23&gt;Instructions!$H$17,Instructions!$I$17,Instructions!$I$18))))</f>
        <v>AZ-Opportunity</v>
      </c>
      <c r="AD23" s="394">
        <f t="shared" si="9"/>
        <v>0</v>
      </c>
      <c r="AE23" s="394">
        <f t="shared" si="10"/>
        <v>67841</v>
      </c>
      <c r="AF23" s="395">
        <f t="shared" si="11"/>
        <v>5612</v>
      </c>
      <c r="AG23" s="341">
        <f t="shared" si="12"/>
        <v>73453</v>
      </c>
      <c r="AH23" s="380"/>
    </row>
    <row r="24" spans="1:34">
      <c r="A24" s="352" t="s">
        <v>67</v>
      </c>
      <c r="B24" s="427">
        <v>1</v>
      </c>
      <c r="C24" s="220" t="s">
        <v>3</v>
      </c>
      <c r="D24" s="379" t="s">
        <v>401</v>
      </c>
      <c r="E24" s="379"/>
      <c r="F24"/>
      <c r="G24" s="379"/>
      <c r="H24"/>
      <c r="I24"/>
      <c r="J24" t="str">
        <f t="shared" si="0"/>
        <v>AR-Yes</v>
      </c>
      <c r="K24" t="str">
        <f t="shared" si="1"/>
        <v>AR-Yes</v>
      </c>
      <c r="L24" s="415"/>
      <c r="M24" s="415"/>
      <c r="N24" s="255">
        <v>2010</v>
      </c>
      <c r="O24" s="416">
        <v>63555</v>
      </c>
      <c r="P24" s="416"/>
      <c r="Q24" s="416">
        <v>124139</v>
      </c>
      <c r="R24" s="416"/>
      <c r="S24" s="416">
        <v>8562</v>
      </c>
      <c r="T24" s="353">
        <f t="shared" si="2"/>
        <v>196256</v>
      </c>
      <c r="U24" s="228"/>
      <c r="V24" s="221">
        <f t="shared" si="3"/>
        <v>124139</v>
      </c>
      <c r="W24" s="388">
        <f t="shared" si="4"/>
        <v>63555</v>
      </c>
      <c r="X24" s="222">
        <f t="shared" si="5"/>
        <v>0.32278069623962408</v>
      </c>
      <c r="Y24" s="421">
        <f t="shared" si="13"/>
        <v>0.3086988423283874</v>
      </c>
      <c r="Z24" s="223">
        <f t="shared" si="6"/>
        <v>0.63253607533018097</v>
      </c>
      <c r="AA24" s="224" t="str">
        <f t="shared" si="7"/>
        <v>AR-No</v>
      </c>
      <c r="AB24" s="225" t="str">
        <f t="shared" si="8"/>
        <v>AR-Rep</v>
      </c>
      <c r="AC24" s="422" t="str">
        <f>C24&amp;"-"&amp;IF(Y24&gt;Instructions!$H$14,Instructions!$I$14,IF(Y24&gt;Instructions!$H$15,Instructions!$I$15,IF(Y24&gt;Instructions!$H$16,Instructions!$I$16,IF(Y24&gt;Instructions!$H$17,Instructions!$I$17,Instructions!$I$18))))</f>
        <v>AR-Landslide</v>
      </c>
      <c r="AD24" s="226">
        <f t="shared" si="9"/>
        <v>63555</v>
      </c>
      <c r="AE24" s="226">
        <f t="shared" si="10"/>
        <v>0</v>
      </c>
      <c r="AF24" s="227">
        <f t="shared" si="11"/>
        <v>8562</v>
      </c>
      <c r="AG24" s="341">
        <f t="shared" si="12"/>
        <v>72117</v>
      </c>
    </row>
    <row r="25" spans="1:34">
      <c r="A25" s="352" t="s">
        <v>67</v>
      </c>
      <c r="B25" s="427">
        <v>2</v>
      </c>
      <c r="C25" s="220" t="s">
        <v>3</v>
      </c>
      <c r="D25" s="379" t="s">
        <v>764</v>
      </c>
      <c r="E25"/>
      <c r="F25"/>
      <c r="G25" s="379"/>
      <c r="H25"/>
      <c r="I25"/>
      <c r="J25" t="str">
        <f t="shared" si="0"/>
        <v>AR-No</v>
      </c>
      <c r="K25" t="str">
        <f t="shared" si="1"/>
        <v>AR-No</v>
      </c>
      <c r="L25" s="415">
        <v>0</v>
      </c>
      <c r="M25" s="415"/>
      <c r="N25" s="255">
        <v>2014</v>
      </c>
      <c r="O25" s="416">
        <v>103477</v>
      </c>
      <c r="P25" s="416"/>
      <c r="Q25" s="416">
        <v>123073</v>
      </c>
      <c r="R25" s="416"/>
      <c r="S25" s="416">
        <v>10780</v>
      </c>
      <c r="T25" s="353">
        <f t="shared" si="2"/>
        <v>237330</v>
      </c>
      <c r="U25" s="228"/>
      <c r="V25" s="221">
        <f t="shared" si="3"/>
        <v>123073</v>
      </c>
      <c r="W25" s="388">
        <f t="shared" si="4"/>
        <v>103477</v>
      </c>
      <c r="X25" s="222">
        <f t="shared" si="5"/>
        <v>8.6497461928934011E-2</v>
      </c>
      <c r="Y25" s="421">
        <f t="shared" si="13"/>
        <v>8.2568575401339883E-2</v>
      </c>
      <c r="Z25" s="223">
        <f t="shared" si="6"/>
        <v>0.5185732945687439</v>
      </c>
      <c r="AA25" s="224" t="str">
        <f t="shared" si="7"/>
        <v>AR-No</v>
      </c>
      <c r="AB25" s="225" t="str">
        <f t="shared" si="8"/>
        <v>AR-Rep</v>
      </c>
      <c r="AC25" s="422" t="str">
        <f>C25&amp;"-"&amp;IF(Y25&gt;Instructions!$H$14,Instructions!$I$14,IF(Y25&gt;Instructions!$H$15,Instructions!$I$15,IF(Y25&gt;Instructions!$H$16,Instructions!$I$16,IF(Y25&gt;Instructions!$H$17,Instructions!$I$17,Instructions!$I$18))))</f>
        <v>AR-Competitive</v>
      </c>
      <c r="AD25" s="226">
        <f t="shared" si="9"/>
        <v>103477</v>
      </c>
      <c r="AE25" s="226">
        <f t="shared" si="10"/>
        <v>0</v>
      </c>
      <c r="AF25" s="227">
        <f t="shared" si="11"/>
        <v>10780</v>
      </c>
      <c r="AG25" s="341">
        <f t="shared" si="12"/>
        <v>114257</v>
      </c>
      <c r="AH25" s="380"/>
    </row>
    <row r="26" spans="1:34">
      <c r="A26" s="352" t="s">
        <v>67</v>
      </c>
      <c r="B26" s="427">
        <v>3</v>
      </c>
      <c r="C26" s="220" t="s">
        <v>3</v>
      </c>
      <c r="D26" s="379" t="s">
        <v>402</v>
      </c>
      <c r="E26"/>
      <c r="F26"/>
      <c r="G26"/>
      <c r="H26"/>
      <c r="I26"/>
      <c r="J26" t="str">
        <f t="shared" si="0"/>
        <v>AR-Yes</v>
      </c>
      <c r="K26" t="str">
        <f t="shared" si="1"/>
        <v>AR-Yes</v>
      </c>
      <c r="L26" s="415"/>
      <c r="M26" s="415"/>
      <c r="N26" s="255">
        <v>2010</v>
      </c>
      <c r="O26" s="416">
        <v>0</v>
      </c>
      <c r="P26" s="416"/>
      <c r="Q26" s="416">
        <v>151630</v>
      </c>
      <c r="R26" s="416"/>
      <c r="S26" s="416">
        <v>39305</v>
      </c>
      <c r="T26" s="353">
        <f t="shared" si="2"/>
        <v>190935</v>
      </c>
      <c r="U26" s="228"/>
      <c r="V26" s="221">
        <f t="shared" si="3"/>
        <v>151630</v>
      </c>
      <c r="W26" s="388">
        <f t="shared" si="4"/>
        <v>39305</v>
      </c>
      <c r="X26" s="222">
        <f t="shared" si="5"/>
        <v>1</v>
      </c>
      <c r="Y26" s="421">
        <f t="shared" si="13"/>
        <v>0.58828920836934029</v>
      </c>
      <c r="Z26" s="223">
        <f t="shared" si="6"/>
        <v>0.79414460418467014</v>
      </c>
      <c r="AA26" s="224" t="str">
        <f t="shared" si="7"/>
        <v>AR-Yes</v>
      </c>
      <c r="AB26" s="225" t="str">
        <f t="shared" si="8"/>
        <v>AR-Rep</v>
      </c>
      <c r="AC26" s="422" t="str">
        <f>C26&amp;"-"&amp;IF(Y26&gt;Instructions!$H$14,Instructions!$I$14,IF(Y26&gt;Instructions!$H$15,Instructions!$I$15,IF(Y26&gt;Instructions!$H$16,Instructions!$I$16,IF(Y26&gt;Instructions!$H$17,Instructions!$I$17,Instructions!$I$18))))</f>
        <v>AR-No contest</v>
      </c>
      <c r="AD26" s="226">
        <f t="shared" si="9"/>
        <v>0</v>
      </c>
      <c r="AE26" s="226">
        <f t="shared" si="10"/>
        <v>0</v>
      </c>
      <c r="AF26" s="227">
        <f t="shared" si="11"/>
        <v>39305</v>
      </c>
      <c r="AG26" s="341">
        <f t="shared" si="12"/>
        <v>39305</v>
      </c>
      <c r="AH26" s="413">
        <f>SUM(AG23:AG26)</f>
        <v>299132</v>
      </c>
    </row>
    <row r="27" spans="1:34">
      <c r="A27" s="352" t="s">
        <v>67</v>
      </c>
      <c r="B27" s="427">
        <v>4</v>
      </c>
      <c r="C27" s="220" t="s">
        <v>3</v>
      </c>
      <c r="D27" s="379" t="s">
        <v>765</v>
      </c>
      <c r="E27"/>
      <c r="F27"/>
      <c r="G27" s="379"/>
      <c r="H27"/>
      <c r="I27"/>
      <c r="J27" t="str">
        <f t="shared" si="0"/>
        <v>AR-No</v>
      </c>
      <c r="K27" t="str">
        <f t="shared" si="1"/>
        <v>AR-No</v>
      </c>
      <c r="L27" s="415">
        <v>0</v>
      </c>
      <c r="M27" s="415"/>
      <c r="N27" s="255">
        <v>2014</v>
      </c>
      <c r="O27" s="416">
        <v>87742</v>
      </c>
      <c r="P27" s="416"/>
      <c r="Q27" s="416">
        <v>110789</v>
      </c>
      <c r="R27" s="416"/>
      <c r="S27" s="416">
        <v>7600</v>
      </c>
      <c r="T27" s="353">
        <f t="shared" si="2"/>
        <v>206131</v>
      </c>
      <c r="U27" s="396"/>
      <c r="V27" s="221">
        <f t="shared" si="3"/>
        <v>110789</v>
      </c>
      <c r="W27" s="388">
        <f t="shared" si="4"/>
        <v>87742</v>
      </c>
      <c r="X27" s="222">
        <f t="shared" si="5"/>
        <v>0.11608766389128146</v>
      </c>
      <c r="Y27" s="421">
        <f t="shared" si="13"/>
        <v>0.11180753986542541</v>
      </c>
      <c r="Z27" s="223">
        <f t="shared" si="6"/>
        <v>0.53746889114204077</v>
      </c>
      <c r="AA27" s="224" t="str">
        <f t="shared" si="7"/>
        <v>AR-No</v>
      </c>
      <c r="AB27" s="225" t="str">
        <f t="shared" si="8"/>
        <v>AR-Rep</v>
      </c>
      <c r="AC27" s="422" t="str">
        <f>C27&amp;"-"&amp;IF(Y27&gt;Instructions!$H$14,Instructions!$I$14,IF(Y27&gt;Instructions!$H$15,Instructions!$I$15,IF(Y27&gt;Instructions!$H$16,Instructions!$I$16,IF(Y27&gt;Instructions!$H$17,Instructions!$I$17,Instructions!$I$18))))</f>
        <v>AR-Opportunity</v>
      </c>
      <c r="AD27" s="226">
        <f t="shared" si="9"/>
        <v>87742</v>
      </c>
      <c r="AE27" s="226">
        <f t="shared" si="10"/>
        <v>0</v>
      </c>
      <c r="AF27" s="227">
        <f t="shared" si="11"/>
        <v>7600</v>
      </c>
      <c r="AG27" s="341">
        <f t="shared" si="12"/>
        <v>95342</v>
      </c>
    </row>
    <row r="28" spans="1:34">
      <c r="A28" s="352" t="s">
        <v>68</v>
      </c>
      <c r="B28" s="427">
        <v>1</v>
      </c>
      <c r="C28" s="220" t="s">
        <v>4</v>
      </c>
      <c r="D28" s="379" t="s">
        <v>403</v>
      </c>
      <c r="E28"/>
      <c r="F28"/>
      <c r="G28" s="379"/>
      <c r="H28"/>
      <c r="I28"/>
      <c r="J28" t="str">
        <f t="shared" si="0"/>
        <v>CA-Yes</v>
      </c>
      <c r="K28" t="str">
        <f t="shared" si="1"/>
        <v>CA-Yes</v>
      </c>
      <c r="L28" s="415"/>
      <c r="M28" s="415"/>
      <c r="N28" s="255">
        <v>2012</v>
      </c>
      <c r="O28" s="416">
        <v>84320</v>
      </c>
      <c r="P28" s="416"/>
      <c r="Q28" s="416">
        <v>132052</v>
      </c>
      <c r="R28" s="416"/>
      <c r="S28" s="416">
        <v>0</v>
      </c>
      <c r="T28" s="353">
        <f t="shared" si="2"/>
        <v>216372</v>
      </c>
      <c r="U28" s="396"/>
      <c r="V28" s="221">
        <f t="shared" si="3"/>
        <v>132052</v>
      </c>
      <c r="W28" s="388">
        <f>LARGE(O28:S28, 2)</f>
        <v>84320</v>
      </c>
      <c r="X28" s="222">
        <f t="shared" si="5"/>
        <v>0.22060155657848521</v>
      </c>
      <c r="Y28" s="421">
        <f t="shared" si="13"/>
        <v>0.22060155657848518</v>
      </c>
      <c r="Z28" s="223">
        <f t="shared" si="6"/>
        <v>0.61030077828924256</v>
      </c>
      <c r="AA28" s="224" t="str">
        <f t="shared" si="7"/>
        <v>CA-No</v>
      </c>
      <c r="AB28" s="225" t="str">
        <f t="shared" si="8"/>
        <v>CA-Rep</v>
      </c>
      <c r="AC28" s="422" t="str">
        <f>C28&amp;"-"&amp;IF(Y28&gt;Instructions!$H$14,Instructions!$I$14,IF(Y28&gt;Instructions!$H$15,Instructions!$I$15,IF(Y28&gt;Instructions!$H$16,Instructions!$I$16,IF(Y28&gt;Instructions!$H$17,Instructions!$I$17,Instructions!$I$18))))</f>
        <v>CA-Landslide</v>
      </c>
      <c r="AD28" s="226">
        <f t="shared" si="9"/>
        <v>84320</v>
      </c>
      <c r="AE28" s="226">
        <f t="shared" si="10"/>
        <v>0</v>
      </c>
      <c r="AF28" s="227">
        <f t="shared" si="11"/>
        <v>0</v>
      </c>
      <c r="AG28" s="341">
        <f t="shared" si="12"/>
        <v>84320</v>
      </c>
    </row>
    <row r="29" spans="1:34">
      <c r="A29" s="352" t="s">
        <v>68</v>
      </c>
      <c r="B29" s="427">
        <v>2</v>
      </c>
      <c r="C29" s="220" t="s">
        <v>4</v>
      </c>
      <c r="D29" s="379" t="s">
        <v>404</v>
      </c>
      <c r="E29"/>
      <c r="F29" s="379"/>
      <c r="G29"/>
      <c r="H29"/>
      <c r="I29"/>
      <c r="J29" t="str">
        <f t="shared" si="0"/>
        <v>CA-Yes</v>
      </c>
      <c r="K29" t="str">
        <f t="shared" si="1"/>
        <v>CA-Yes</v>
      </c>
      <c r="L29" s="417"/>
      <c r="M29" s="417"/>
      <c r="N29" s="255">
        <v>2012</v>
      </c>
      <c r="O29" s="416">
        <v>163124</v>
      </c>
      <c r="P29" s="416"/>
      <c r="Q29" s="416">
        <v>54400</v>
      </c>
      <c r="R29" s="416"/>
      <c r="S29" s="416">
        <v>0</v>
      </c>
      <c r="T29" s="353">
        <f t="shared" si="2"/>
        <v>217524</v>
      </c>
      <c r="U29" s="228"/>
      <c r="V29" s="221">
        <f t="shared" si="3"/>
        <v>163124</v>
      </c>
      <c r="W29" s="388">
        <f t="shared" ref="W29:W92" si="14">LARGE(O29:S29, 2)</f>
        <v>54400</v>
      </c>
      <c r="X29" s="222">
        <f t="shared" si="5"/>
        <v>0.49982530663283131</v>
      </c>
      <c r="Y29" s="421">
        <f t="shared" si="13"/>
        <v>0.49982530663283131</v>
      </c>
      <c r="Z29" s="223">
        <f t="shared" si="6"/>
        <v>0.74991265331641566</v>
      </c>
      <c r="AA29" s="224" t="str">
        <f t="shared" si="7"/>
        <v>CA-No</v>
      </c>
      <c r="AB29" s="225" t="str">
        <f t="shared" si="8"/>
        <v>CA-Dem</v>
      </c>
      <c r="AC29" s="422" t="str">
        <f>C29&amp;"-"&amp;IF(Y29&gt;Instructions!$H$14,Instructions!$I$14,IF(Y29&gt;Instructions!$H$15,Instructions!$I$15,IF(Y29&gt;Instructions!$H$16,Instructions!$I$16,IF(Y29&gt;Instructions!$H$17,Instructions!$I$17,Instructions!$I$18))))</f>
        <v>CA-No contest</v>
      </c>
      <c r="AD29" s="226">
        <f t="shared" si="9"/>
        <v>0</v>
      </c>
      <c r="AE29" s="226">
        <f t="shared" si="10"/>
        <v>54400</v>
      </c>
      <c r="AF29" s="227">
        <f t="shared" si="11"/>
        <v>0</v>
      </c>
      <c r="AG29" s="341">
        <f t="shared" si="12"/>
        <v>54400</v>
      </c>
    </row>
    <row r="30" spans="1:34">
      <c r="A30" s="352" t="s">
        <v>68</v>
      </c>
      <c r="B30" s="427">
        <v>3</v>
      </c>
      <c r="C30" s="220" t="s">
        <v>4</v>
      </c>
      <c r="D30" s="379" t="s">
        <v>405</v>
      </c>
      <c r="E30" s="379"/>
      <c r="F30"/>
      <c r="G30"/>
      <c r="H30"/>
      <c r="I30"/>
      <c r="J30" t="str">
        <f t="shared" si="0"/>
        <v>CA-Yes</v>
      </c>
      <c r="K30" t="str">
        <f t="shared" si="1"/>
        <v>CA-Yes</v>
      </c>
      <c r="L30" s="417"/>
      <c r="M30" s="417"/>
      <c r="N30" s="255">
        <v>2009</v>
      </c>
      <c r="O30" s="416">
        <v>79224</v>
      </c>
      <c r="P30" s="416"/>
      <c r="Q30" s="416">
        <v>71036</v>
      </c>
      <c r="R30" s="416"/>
      <c r="S30" s="416">
        <v>0</v>
      </c>
      <c r="T30" s="353">
        <f t="shared" si="2"/>
        <v>150260</v>
      </c>
      <c r="U30" s="228"/>
      <c r="V30" s="221">
        <f t="shared" si="3"/>
        <v>79224</v>
      </c>
      <c r="W30" s="388">
        <f t="shared" si="14"/>
        <v>71036</v>
      </c>
      <c r="X30" s="222">
        <f t="shared" si="5"/>
        <v>5.4492213496605886E-2</v>
      </c>
      <c r="Y30" s="421">
        <f t="shared" si="13"/>
        <v>5.4492213496605935E-2</v>
      </c>
      <c r="Z30" s="223">
        <f t="shared" si="6"/>
        <v>0.52724610674830297</v>
      </c>
      <c r="AA30" s="224" t="str">
        <f t="shared" si="7"/>
        <v>CA-No</v>
      </c>
      <c r="AB30" s="225" t="str">
        <f t="shared" si="8"/>
        <v>CA-Dem</v>
      </c>
      <c r="AC30" s="422" t="str">
        <f>C30&amp;"-"&amp;IF(Y30&gt;Instructions!$H$14,Instructions!$I$14,IF(Y30&gt;Instructions!$H$15,Instructions!$I$15,IF(Y30&gt;Instructions!$H$16,Instructions!$I$16,IF(Y30&gt;Instructions!$H$17,Instructions!$I$17,Instructions!$I$18))))</f>
        <v>CA-Competitive</v>
      </c>
      <c r="AD30" s="226">
        <f t="shared" si="9"/>
        <v>0</v>
      </c>
      <c r="AE30" s="226">
        <f t="shared" si="10"/>
        <v>71036</v>
      </c>
      <c r="AF30" s="227">
        <f t="shared" si="11"/>
        <v>0</v>
      </c>
      <c r="AG30" s="341">
        <f t="shared" si="12"/>
        <v>71036</v>
      </c>
      <c r="AH30" s="380"/>
    </row>
    <row r="31" spans="1:34">
      <c r="A31" s="352" t="s">
        <v>68</v>
      </c>
      <c r="B31" s="427">
        <v>4</v>
      </c>
      <c r="C31" s="220" t="s">
        <v>4</v>
      </c>
      <c r="D31" s="379" t="s">
        <v>406</v>
      </c>
      <c r="E31" s="379"/>
      <c r="F31"/>
      <c r="G31"/>
      <c r="H31"/>
      <c r="I31"/>
      <c r="J31" t="str">
        <f t="shared" si="0"/>
        <v>CA-Yes</v>
      </c>
      <c r="K31" t="str">
        <f t="shared" si="1"/>
        <v>CA-Yes</v>
      </c>
      <c r="L31" s="415"/>
      <c r="M31" s="415"/>
      <c r="N31" s="255">
        <v>2008</v>
      </c>
      <c r="O31" s="416">
        <v>0</v>
      </c>
      <c r="P31" s="416"/>
      <c r="Q31" s="416">
        <v>126784</v>
      </c>
      <c r="R31" s="416">
        <v>84350</v>
      </c>
      <c r="S31" s="416">
        <v>0</v>
      </c>
      <c r="T31" s="353">
        <f t="shared" si="2"/>
        <v>211134</v>
      </c>
      <c r="U31" s="228"/>
      <c r="V31" s="221">
        <f t="shared" si="3"/>
        <v>126784</v>
      </c>
      <c r="W31" s="388">
        <f t="shared" si="14"/>
        <v>84350</v>
      </c>
      <c r="X31" s="222">
        <f t="shared" si="5"/>
        <v>1</v>
      </c>
      <c r="Y31" s="421">
        <f t="shared" si="13"/>
        <v>0.20098136728333665</v>
      </c>
      <c r="Z31" s="223">
        <f t="shared" si="6"/>
        <v>0.60049068364166835</v>
      </c>
      <c r="AA31" s="224" t="str">
        <f t="shared" si="7"/>
        <v>CA-Yes</v>
      </c>
      <c r="AB31" s="225" t="str">
        <f t="shared" si="8"/>
        <v>CA-Rep</v>
      </c>
      <c r="AC31" s="422" t="str">
        <f>C31&amp;"-"&amp;IF(Y31&gt;Instructions!$H$14,Instructions!$I$14,IF(Y31&gt;Instructions!$H$15,Instructions!$I$15,IF(Y31&gt;Instructions!$H$16,Instructions!$I$16,IF(Y31&gt;Instructions!$H$17,Instructions!$I$17,Instructions!$I$18))))</f>
        <v>CA-Landslide</v>
      </c>
      <c r="AD31" s="226">
        <f t="shared" si="9"/>
        <v>0</v>
      </c>
      <c r="AE31" s="226">
        <f t="shared" si="10"/>
        <v>0</v>
      </c>
      <c r="AF31" s="227">
        <f t="shared" si="11"/>
        <v>0</v>
      </c>
      <c r="AG31" s="341">
        <f t="shared" si="12"/>
        <v>0</v>
      </c>
      <c r="AH31" s="380"/>
    </row>
    <row r="32" spans="1:34">
      <c r="A32" s="352" t="s">
        <v>68</v>
      </c>
      <c r="B32" s="427">
        <v>5</v>
      </c>
      <c r="C32" s="220" t="s">
        <v>4</v>
      </c>
      <c r="D32" s="379" t="s">
        <v>407</v>
      </c>
      <c r="E32" s="381"/>
      <c r="F32"/>
      <c r="G32"/>
      <c r="H32"/>
      <c r="I32"/>
      <c r="J32" t="str">
        <f t="shared" si="0"/>
        <v>CA-Yes</v>
      </c>
      <c r="K32" t="str">
        <f t="shared" si="1"/>
        <v>CA-Yes</v>
      </c>
      <c r="L32" s="417"/>
      <c r="M32" s="417"/>
      <c r="N32" s="255">
        <v>1998</v>
      </c>
      <c r="O32" s="416">
        <v>129613</v>
      </c>
      <c r="P32" s="416"/>
      <c r="Q32" s="416">
        <v>0</v>
      </c>
      <c r="R32" s="416"/>
      <c r="S32" s="416">
        <v>41535</v>
      </c>
      <c r="T32" s="353">
        <f t="shared" si="2"/>
        <v>171148</v>
      </c>
      <c r="U32" s="396"/>
      <c r="V32" s="221">
        <f t="shared" si="3"/>
        <v>129613</v>
      </c>
      <c r="W32" s="388">
        <f t="shared" si="14"/>
        <v>41535</v>
      </c>
      <c r="X32" s="222">
        <f t="shared" si="5"/>
        <v>1</v>
      </c>
      <c r="Y32" s="421">
        <f t="shared" si="13"/>
        <v>0.51463061210180672</v>
      </c>
      <c r="Z32" s="223">
        <f t="shared" si="6"/>
        <v>0.75731530605090336</v>
      </c>
      <c r="AA32" s="224" t="str">
        <f t="shared" si="7"/>
        <v>CA-Yes</v>
      </c>
      <c r="AB32" s="225" t="str">
        <f t="shared" si="8"/>
        <v>CA-Dem</v>
      </c>
      <c r="AC32" s="422" t="str">
        <f>C32&amp;"-"&amp;IF(Y32&gt;Instructions!$H$14,Instructions!$I$14,IF(Y32&gt;Instructions!$H$15,Instructions!$I$15,IF(Y32&gt;Instructions!$H$16,Instructions!$I$16,IF(Y32&gt;Instructions!$H$17,Instructions!$I$17,Instructions!$I$18))))</f>
        <v>CA-No contest</v>
      </c>
      <c r="AD32" s="226">
        <f t="shared" si="9"/>
        <v>0</v>
      </c>
      <c r="AE32" s="226">
        <f t="shared" si="10"/>
        <v>0</v>
      </c>
      <c r="AF32" s="227">
        <f t="shared" si="11"/>
        <v>41535</v>
      </c>
      <c r="AG32" s="341">
        <f t="shared" si="12"/>
        <v>41535</v>
      </c>
    </row>
    <row r="33" spans="1:34">
      <c r="A33" s="352" t="s">
        <v>68</v>
      </c>
      <c r="B33" s="427">
        <v>6</v>
      </c>
      <c r="C33" s="220" t="s">
        <v>4</v>
      </c>
      <c r="D33" s="379" t="s">
        <v>408</v>
      </c>
      <c r="E33" t="s">
        <v>344</v>
      </c>
      <c r="F33"/>
      <c r="G33"/>
      <c r="H33" t="s">
        <v>344</v>
      </c>
      <c r="I33"/>
      <c r="J33" t="str">
        <f t="shared" si="0"/>
        <v>CA-Yes</v>
      </c>
      <c r="K33" t="str">
        <f t="shared" si="1"/>
        <v>CA-Yes</v>
      </c>
      <c r="L33" s="417"/>
      <c r="M33" s="417"/>
      <c r="N33" s="255">
        <v>2005</v>
      </c>
      <c r="O33" s="416">
        <v>97008</v>
      </c>
      <c r="P33" s="416"/>
      <c r="Q33" s="416">
        <v>36448</v>
      </c>
      <c r="R33" s="416"/>
      <c r="S33" s="416">
        <v>0</v>
      </c>
      <c r="T33" s="353">
        <f t="shared" si="2"/>
        <v>133456</v>
      </c>
      <c r="U33" s="228"/>
      <c r="V33" s="221">
        <f t="shared" si="3"/>
        <v>97008</v>
      </c>
      <c r="W33" s="388">
        <f t="shared" si="14"/>
        <v>36448</v>
      </c>
      <c r="X33" s="222">
        <f t="shared" si="5"/>
        <v>0.45378252008152498</v>
      </c>
      <c r="Y33" s="421">
        <f t="shared" si="13"/>
        <v>0.45378252008152503</v>
      </c>
      <c r="Z33" s="223">
        <f t="shared" si="6"/>
        <v>0.72689126004076254</v>
      </c>
      <c r="AA33" s="224" t="str">
        <f t="shared" si="7"/>
        <v>CA-No</v>
      </c>
      <c r="AB33" s="225" t="str">
        <f t="shared" si="8"/>
        <v>CA-Dem</v>
      </c>
      <c r="AC33" s="422" t="str">
        <f>C33&amp;"-"&amp;IF(Y33&gt;Instructions!$H$14,Instructions!$I$14,IF(Y33&gt;Instructions!$H$15,Instructions!$I$15,IF(Y33&gt;Instructions!$H$16,Instructions!$I$16,IF(Y33&gt;Instructions!$H$17,Instructions!$I$17,Instructions!$I$18))))</f>
        <v>CA-No contest</v>
      </c>
      <c r="AD33" s="226">
        <f t="shared" si="9"/>
        <v>0</v>
      </c>
      <c r="AE33" s="226">
        <f t="shared" si="10"/>
        <v>36448</v>
      </c>
      <c r="AF33" s="227">
        <f t="shared" si="11"/>
        <v>0</v>
      </c>
      <c r="AG33" s="341">
        <f t="shared" si="12"/>
        <v>36448</v>
      </c>
    </row>
    <row r="34" spans="1:34">
      <c r="A34" s="352" t="s">
        <v>68</v>
      </c>
      <c r="B34" s="427">
        <v>7</v>
      </c>
      <c r="C34" s="220" t="s">
        <v>4</v>
      </c>
      <c r="D34" s="379" t="s">
        <v>409</v>
      </c>
      <c r="E34"/>
      <c r="F34"/>
      <c r="G34"/>
      <c r="H34" t="s">
        <v>344</v>
      </c>
      <c r="I34"/>
      <c r="J34" t="str">
        <f t="shared" si="0"/>
        <v>CA-Yes</v>
      </c>
      <c r="K34" t="str">
        <f t="shared" si="1"/>
        <v>CA-Yes</v>
      </c>
      <c r="L34" s="417"/>
      <c r="M34" s="417"/>
      <c r="N34" s="255">
        <v>2012</v>
      </c>
      <c r="O34" s="416">
        <v>92521</v>
      </c>
      <c r="P34" s="416"/>
      <c r="Q34" s="416">
        <v>91066</v>
      </c>
      <c r="R34" s="416"/>
      <c r="S34" s="416">
        <v>0</v>
      </c>
      <c r="T34" s="353">
        <f t="shared" si="2"/>
        <v>183587</v>
      </c>
      <c r="U34" s="228"/>
      <c r="V34" s="221">
        <f t="shared" si="3"/>
        <v>92521</v>
      </c>
      <c r="W34" s="388">
        <f t="shared" si="14"/>
        <v>91066</v>
      </c>
      <c r="X34" s="222">
        <f t="shared" si="5"/>
        <v>7.9253977678158047E-3</v>
      </c>
      <c r="Y34" s="421">
        <f t="shared" si="13"/>
        <v>7.9253977678157561E-3</v>
      </c>
      <c r="Z34" s="223">
        <f t="shared" si="6"/>
        <v>0.50396269888390788</v>
      </c>
      <c r="AA34" s="224" t="str">
        <f t="shared" si="7"/>
        <v>CA-No</v>
      </c>
      <c r="AB34" s="225" t="str">
        <f t="shared" si="8"/>
        <v>CA-Dem</v>
      </c>
      <c r="AC34" s="422" t="str">
        <f>C34&amp;"-"&amp;IF(Y34&gt;Instructions!$H$14,Instructions!$I$14,IF(Y34&gt;Instructions!$H$15,Instructions!$I$15,IF(Y34&gt;Instructions!$H$16,Instructions!$I$16,IF(Y34&gt;Instructions!$H$17,Instructions!$I$17,Instructions!$I$18))))</f>
        <v>CA-Tight</v>
      </c>
      <c r="AD34" s="226">
        <f t="shared" si="9"/>
        <v>0</v>
      </c>
      <c r="AE34" s="226">
        <f t="shared" si="10"/>
        <v>91066</v>
      </c>
      <c r="AF34" s="227">
        <f t="shared" si="11"/>
        <v>0</v>
      </c>
      <c r="AG34" s="341">
        <f t="shared" si="12"/>
        <v>91066</v>
      </c>
      <c r="AH34" s="380"/>
    </row>
    <row r="35" spans="1:34">
      <c r="A35" s="352" t="s">
        <v>68</v>
      </c>
      <c r="B35" s="427">
        <v>8</v>
      </c>
      <c r="C35" s="220" t="s">
        <v>4</v>
      </c>
      <c r="D35" s="379" t="s">
        <v>410</v>
      </c>
      <c r="E35" s="379"/>
      <c r="F35" s="381"/>
      <c r="G35"/>
      <c r="H35"/>
      <c r="I35" s="379"/>
      <c r="J35" t="str">
        <f t="shared" si="0"/>
        <v>CA-Yes</v>
      </c>
      <c r="K35" t="str">
        <f t="shared" si="1"/>
        <v>CA-Yes</v>
      </c>
      <c r="L35" s="415"/>
      <c r="M35" s="415"/>
      <c r="N35" s="255">
        <v>2012</v>
      </c>
      <c r="O35" s="416">
        <v>37056</v>
      </c>
      <c r="P35" s="416"/>
      <c r="Q35" s="416">
        <v>77480</v>
      </c>
      <c r="R35" s="416"/>
      <c r="S35" s="416">
        <v>0</v>
      </c>
      <c r="T35" s="353">
        <f t="shared" si="2"/>
        <v>114536</v>
      </c>
      <c r="U35" s="228"/>
      <c r="V35" s="221">
        <f t="shared" si="3"/>
        <v>77480</v>
      </c>
      <c r="W35" s="388">
        <f t="shared" si="14"/>
        <v>37056</v>
      </c>
      <c r="X35" s="222">
        <f t="shared" si="5"/>
        <v>0.352937067821471</v>
      </c>
      <c r="Y35" s="421">
        <f t="shared" si="13"/>
        <v>0.35293706782147094</v>
      </c>
      <c r="Z35" s="223">
        <f t="shared" si="6"/>
        <v>0.67646853391073547</v>
      </c>
      <c r="AA35" s="224" t="str">
        <f t="shared" si="7"/>
        <v>CA-No</v>
      </c>
      <c r="AB35" s="225" t="str">
        <f t="shared" si="8"/>
        <v>CA-Rep</v>
      </c>
      <c r="AC35" s="422" t="str">
        <f>C35&amp;"-"&amp;IF(Y35&gt;Instructions!$H$14,Instructions!$I$14,IF(Y35&gt;Instructions!$H$15,Instructions!$I$15,IF(Y35&gt;Instructions!$H$16,Instructions!$I$16,IF(Y35&gt;Instructions!$H$17,Instructions!$I$17,Instructions!$I$18))))</f>
        <v>CA-Landslide</v>
      </c>
      <c r="AD35" s="226">
        <f t="shared" si="9"/>
        <v>37056</v>
      </c>
      <c r="AE35" s="226">
        <f t="shared" si="10"/>
        <v>0</v>
      </c>
      <c r="AF35" s="227">
        <f t="shared" si="11"/>
        <v>0</v>
      </c>
      <c r="AG35" s="341">
        <f t="shared" si="12"/>
        <v>37056</v>
      </c>
      <c r="AH35" s="380"/>
    </row>
    <row r="36" spans="1:34">
      <c r="A36" s="352" t="s">
        <v>68</v>
      </c>
      <c r="B36" s="427">
        <v>9</v>
      </c>
      <c r="C36" s="220" t="s">
        <v>4</v>
      </c>
      <c r="D36" s="379" t="s">
        <v>411</v>
      </c>
      <c r="E36" s="379"/>
      <c r="F36"/>
      <c r="G36" s="379"/>
      <c r="H36"/>
      <c r="I36" s="379"/>
      <c r="J36" t="str">
        <f t="shared" si="0"/>
        <v>CA-Yes</v>
      </c>
      <c r="K36" t="str">
        <f t="shared" si="1"/>
        <v>CA-Yes</v>
      </c>
      <c r="L36" s="417"/>
      <c r="M36" s="417"/>
      <c r="N36" s="255">
        <v>2006</v>
      </c>
      <c r="O36" s="416">
        <v>63475</v>
      </c>
      <c r="P36" s="416"/>
      <c r="Q36" s="416">
        <v>57729</v>
      </c>
      <c r="R36" s="416"/>
      <c r="S36" s="416">
        <v>0</v>
      </c>
      <c r="T36" s="353">
        <f t="shared" si="2"/>
        <v>121204</v>
      </c>
      <c r="U36" s="228"/>
      <c r="V36" s="221">
        <f t="shared" si="3"/>
        <v>63475</v>
      </c>
      <c r="W36" s="388">
        <f t="shared" si="14"/>
        <v>57729</v>
      </c>
      <c r="X36" s="222">
        <f t="shared" si="5"/>
        <v>4.7407676314313058E-2</v>
      </c>
      <c r="Y36" s="421">
        <f t="shared" si="13"/>
        <v>4.740767631431303E-2</v>
      </c>
      <c r="Z36" s="223">
        <f t="shared" si="6"/>
        <v>0.52370383815715649</v>
      </c>
      <c r="AA36" s="224" t="str">
        <f t="shared" si="7"/>
        <v>CA-No</v>
      </c>
      <c r="AB36" s="225" t="str">
        <f t="shared" si="8"/>
        <v>CA-Dem</v>
      </c>
      <c r="AC36" s="422" t="str">
        <f>C36&amp;"-"&amp;IF(Y36&gt;Instructions!$H$14,Instructions!$I$14,IF(Y36&gt;Instructions!$H$15,Instructions!$I$15,IF(Y36&gt;Instructions!$H$16,Instructions!$I$16,IF(Y36&gt;Instructions!$H$17,Instructions!$I$17,Instructions!$I$18))))</f>
        <v>CA-Tight</v>
      </c>
      <c r="AD36" s="226">
        <f t="shared" si="9"/>
        <v>0</v>
      </c>
      <c r="AE36" s="226">
        <f t="shared" si="10"/>
        <v>57729</v>
      </c>
      <c r="AF36" s="227">
        <f t="shared" si="11"/>
        <v>0</v>
      </c>
      <c r="AG36" s="341">
        <f t="shared" si="12"/>
        <v>57729</v>
      </c>
      <c r="AH36" s="380"/>
    </row>
    <row r="37" spans="1:34">
      <c r="A37" s="352" t="s">
        <v>68</v>
      </c>
      <c r="B37" s="427">
        <v>10</v>
      </c>
      <c r="C37" s="220" t="s">
        <v>4</v>
      </c>
      <c r="D37" s="379" t="s">
        <v>412</v>
      </c>
      <c r="E37"/>
      <c r="F37"/>
      <c r="G37"/>
      <c r="H37"/>
      <c r="I37"/>
      <c r="J37" t="str">
        <f t="shared" si="0"/>
        <v>CA-Yes</v>
      </c>
      <c r="K37" t="str">
        <f t="shared" si="1"/>
        <v>CA-Yes</v>
      </c>
      <c r="L37" s="415"/>
      <c r="M37" s="415"/>
      <c r="N37" s="255">
        <v>2010</v>
      </c>
      <c r="O37" s="416">
        <v>55123</v>
      </c>
      <c r="P37" s="416"/>
      <c r="Q37" s="416">
        <v>70582</v>
      </c>
      <c r="R37" s="416"/>
      <c r="S37" s="416">
        <v>0</v>
      </c>
      <c r="T37" s="353">
        <f t="shared" si="2"/>
        <v>125705</v>
      </c>
      <c r="U37" s="228"/>
      <c r="V37" s="221">
        <f t="shared" si="3"/>
        <v>70582</v>
      </c>
      <c r="W37" s="388">
        <f t="shared" si="14"/>
        <v>55123</v>
      </c>
      <c r="X37" s="222">
        <f t="shared" si="5"/>
        <v>0.12297840181377033</v>
      </c>
      <c r="Y37" s="421">
        <f t="shared" si="13"/>
        <v>0.12297840181377029</v>
      </c>
      <c r="Z37" s="223">
        <f t="shared" si="6"/>
        <v>0.56148920090688514</v>
      </c>
      <c r="AA37" s="224" t="str">
        <f t="shared" si="7"/>
        <v>CA-No</v>
      </c>
      <c r="AB37" s="225" t="str">
        <f t="shared" si="8"/>
        <v>CA-Rep</v>
      </c>
      <c r="AC37" s="422" t="str">
        <f>C37&amp;"-"&amp;IF(Y37&gt;Instructions!$H$14,Instructions!$I$14,IF(Y37&gt;Instructions!$H$15,Instructions!$I$15,IF(Y37&gt;Instructions!$H$16,Instructions!$I$16,IF(Y37&gt;Instructions!$H$17,Instructions!$I$17,Instructions!$I$18))))</f>
        <v>CA-Opportunity</v>
      </c>
      <c r="AD37" s="226">
        <f t="shared" si="9"/>
        <v>55123</v>
      </c>
      <c r="AE37" s="226">
        <f t="shared" si="10"/>
        <v>0</v>
      </c>
      <c r="AF37" s="227">
        <f t="shared" si="11"/>
        <v>0</v>
      </c>
      <c r="AG37" s="341">
        <f t="shared" si="12"/>
        <v>55123</v>
      </c>
      <c r="AH37" s="380"/>
    </row>
    <row r="38" spans="1:34">
      <c r="A38" s="352" t="s">
        <v>68</v>
      </c>
      <c r="B38" s="427">
        <v>11</v>
      </c>
      <c r="C38" s="220" t="s">
        <v>4</v>
      </c>
      <c r="D38" s="379" t="s">
        <v>766</v>
      </c>
      <c r="E38" s="381"/>
      <c r="F38"/>
      <c r="G38"/>
      <c r="H38"/>
      <c r="I38"/>
      <c r="J38" t="str">
        <f t="shared" si="0"/>
        <v>CA-No</v>
      </c>
      <c r="K38" t="str">
        <f t="shared" si="1"/>
        <v>CA-No</v>
      </c>
      <c r="L38" s="415">
        <v>0</v>
      </c>
      <c r="M38" s="417"/>
      <c r="N38" s="255">
        <v>2014</v>
      </c>
      <c r="O38" s="416">
        <v>117502</v>
      </c>
      <c r="P38" s="416"/>
      <c r="Q38" s="416">
        <v>57160</v>
      </c>
      <c r="R38" s="416"/>
      <c r="S38" s="416">
        <v>0</v>
      </c>
      <c r="T38" s="353">
        <f t="shared" si="2"/>
        <v>174662</v>
      </c>
      <c r="U38" s="228"/>
      <c r="V38" s="221">
        <f t="shared" si="3"/>
        <v>117502</v>
      </c>
      <c r="W38" s="388">
        <f t="shared" si="14"/>
        <v>57160</v>
      </c>
      <c r="X38" s="222">
        <f t="shared" si="5"/>
        <v>0.34547869599569453</v>
      </c>
      <c r="Y38" s="421">
        <f t="shared" si="13"/>
        <v>0.34547869599569458</v>
      </c>
      <c r="Z38" s="223">
        <f t="shared" si="6"/>
        <v>0.67273934799784729</v>
      </c>
      <c r="AA38" s="224" t="str">
        <f t="shared" si="7"/>
        <v>CA-No</v>
      </c>
      <c r="AB38" s="225" t="str">
        <f t="shared" si="8"/>
        <v>CA-Dem</v>
      </c>
      <c r="AC38" s="422" t="str">
        <f>C38&amp;"-"&amp;IF(Y38&gt;Instructions!$H$14,Instructions!$I$14,IF(Y38&gt;Instructions!$H$15,Instructions!$I$15,IF(Y38&gt;Instructions!$H$16,Instructions!$I$16,IF(Y38&gt;Instructions!$H$17,Instructions!$I$17,Instructions!$I$18))))</f>
        <v>CA-Landslide</v>
      </c>
      <c r="AD38" s="226">
        <f t="shared" si="9"/>
        <v>0</v>
      </c>
      <c r="AE38" s="226">
        <f t="shared" si="10"/>
        <v>57160</v>
      </c>
      <c r="AF38" s="227">
        <f t="shared" si="11"/>
        <v>0</v>
      </c>
      <c r="AG38" s="341">
        <f t="shared" si="12"/>
        <v>57160</v>
      </c>
    </row>
    <row r="39" spans="1:34">
      <c r="A39" s="352" t="s">
        <v>68</v>
      </c>
      <c r="B39" s="427">
        <v>12</v>
      </c>
      <c r="C39" s="220" t="s">
        <v>4</v>
      </c>
      <c r="D39" s="379" t="s">
        <v>413</v>
      </c>
      <c r="E39" t="s">
        <v>344</v>
      </c>
      <c r="F39"/>
      <c r="G39"/>
      <c r="H39"/>
      <c r="I39"/>
      <c r="J39" t="str">
        <f t="shared" si="0"/>
        <v>CA-Yes</v>
      </c>
      <c r="K39" t="str">
        <f t="shared" si="1"/>
        <v>CA-Yes</v>
      </c>
      <c r="L39" s="417"/>
      <c r="M39" s="417"/>
      <c r="N39" s="255">
        <v>1987</v>
      </c>
      <c r="O39" s="416">
        <v>160067</v>
      </c>
      <c r="P39" s="416"/>
      <c r="Q39" s="416">
        <v>32197</v>
      </c>
      <c r="R39" s="416"/>
      <c r="S39" s="416">
        <v>0</v>
      </c>
      <c r="T39" s="353">
        <f t="shared" si="2"/>
        <v>192264</v>
      </c>
      <c r="U39" s="228"/>
      <c r="V39" s="221">
        <f t="shared" si="3"/>
        <v>160067</v>
      </c>
      <c r="W39" s="388">
        <f t="shared" si="14"/>
        <v>32197</v>
      </c>
      <c r="X39" s="222">
        <f t="shared" si="5"/>
        <v>0.66507510506387046</v>
      </c>
      <c r="Y39" s="421">
        <f t="shared" si="13"/>
        <v>0.66507510506387058</v>
      </c>
      <c r="Z39" s="223">
        <f t="shared" si="6"/>
        <v>0.83253755253193529</v>
      </c>
      <c r="AA39" s="224" t="str">
        <f t="shared" ref="AA39:AA70" si="15">C39&amp;"-"&amp;IF(O39*Q39=0,"Yes","No")</f>
        <v>CA-No</v>
      </c>
      <c r="AB39" s="225" t="str">
        <f t="shared" si="8"/>
        <v>CA-Dem</v>
      </c>
      <c r="AC39" s="422" t="str">
        <f>C39&amp;"-"&amp;IF(Y39&gt;Instructions!$H$14,Instructions!$I$14,IF(Y39&gt;Instructions!$H$15,Instructions!$I$15,IF(Y39&gt;Instructions!$H$16,Instructions!$I$16,IF(Y39&gt;Instructions!$H$17,Instructions!$I$17,Instructions!$I$18))))</f>
        <v>CA-No contest</v>
      </c>
      <c r="AD39" s="226">
        <f t="shared" si="9"/>
        <v>0</v>
      </c>
      <c r="AE39" s="226">
        <f t="shared" si="10"/>
        <v>32197</v>
      </c>
      <c r="AF39" s="227">
        <f t="shared" si="11"/>
        <v>0</v>
      </c>
      <c r="AG39" s="341">
        <f t="shared" si="12"/>
        <v>32197</v>
      </c>
    </row>
    <row r="40" spans="1:34">
      <c r="A40" s="352" t="s">
        <v>68</v>
      </c>
      <c r="B40" s="427">
        <v>13</v>
      </c>
      <c r="C40" s="220" t="s">
        <v>4</v>
      </c>
      <c r="D40" s="379" t="s">
        <v>414</v>
      </c>
      <c r="E40" t="s">
        <v>344</v>
      </c>
      <c r="F40" s="379" t="s">
        <v>344</v>
      </c>
      <c r="G40"/>
      <c r="H40"/>
      <c r="I40"/>
      <c r="J40" t="str">
        <f t="shared" si="0"/>
        <v>CA-Yes</v>
      </c>
      <c r="K40" t="str">
        <f t="shared" si="1"/>
        <v>CA-Yes</v>
      </c>
      <c r="L40" s="417"/>
      <c r="M40" s="417"/>
      <c r="N40" s="255">
        <v>1998</v>
      </c>
      <c r="O40" s="416">
        <v>168491</v>
      </c>
      <c r="P40" s="416"/>
      <c r="Q40" s="416">
        <v>21940</v>
      </c>
      <c r="R40" s="416"/>
      <c r="S40" s="416">
        <v>0</v>
      </c>
      <c r="T40" s="353">
        <f t="shared" si="2"/>
        <v>190431</v>
      </c>
      <c r="U40" s="228"/>
      <c r="V40" s="221">
        <f t="shared" si="3"/>
        <v>168491</v>
      </c>
      <c r="W40" s="388">
        <f t="shared" si="14"/>
        <v>21940</v>
      </c>
      <c r="X40" s="222">
        <f t="shared" si="5"/>
        <v>0.76957533174745707</v>
      </c>
      <c r="Y40" s="421">
        <f t="shared" si="13"/>
        <v>0.76957533174745718</v>
      </c>
      <c r="Z40" s="223">
        <f t="shared" si="6"/>
        <v>0.88478766587372859</v>
      </c>
      <c r="AA40" s="224" t="str">
        <f t="shared" si="15"/>
        <v>CA-No</v>
      </c>
      <c r="AB40" s="225" t="str">
        <f t="shared" si="8"/>
        <v>CA-Dem</v>
      </c>
      <c r="AC40" s="422" t="str">
        <f>C40&amp;"-"&amp;IF(Y40&gt;Instructions!$H$14,Instructions!$I$14,IF(Y40&gt;Instructions!$H$15,Instructions!$I$15,IF(Y40&gt;Instructions!$H$16,Instructions!$I$16,IF(Y40&gt;Instructions!$H$17,Instructions!$I$17,Instructions!$I$18))))</f>
        <v>CA-No contest</v>
      </c>
      <c r="AD40" s="226">
        <f t="shared" si="9"/>
        <v>0</v>
      </c>
      <c r="AE40" s="226">
        <f t="shared" si="10"/>
        <v>21940</v>
      </c>
      <c r="AF40" s="227">
        <f t="shared" si="11"/>
        <v>0</v>
      </c>
      <c r="AG40" s="341">
        <f t="shared" si="12"/>
        <v>21940</v>
      </c>
    </row>
    <row r="41" spans="1:34">
      <c r="A41" s="352" t="s">
        <v>68</v>
      </c>
      <c r="B41" s="427">
        <v>14</v>
      </c>
      <c r="C41" s="220" t="s">
        <v>4</v>
      </c>
      <c r="D41" s="379" t="s">
        <v>415</v>
      </c>
      <c r="E41" t="s">
        <v>344</v>
      </c>
      <c r="F41"/>
      <c r="G41"/>
      <c r="H41"/>
      <c r="I41"/>
      <c r="J41" t="str">
        <f t="shared" si="0"/>
        <v>CA-Yes</v>
      </c>
      <c r="K41" t="str">
        <f t="shared" si="1"/>
        <v>CA-Yes</v>
      </c>
      <c r="L41" s="417"/>
      <c r="M41" s="417"/>
      <c r="N41" s="255">
        <v>2007.5</v>
      </c>
      <c r="O41" s="416">
        <v>114389</v>
      </c>
      <c r="P41" s="416"/>
      <c r="Q41" s="416">
        <v>34757</v>
      </c>
      <c r="R41" s="416"/>
      <c r="S41" s="416">
        <v>0</v>
      </c>
      <c r="T41" s="353">
        <f t="shared" si="2"/>
        <v>149146</v>
      </c>
      <c r="U41" s="228"/>
      <c r="V41" s="221">
        <f t="shared" si="3"/>
        <v>114389</v>
      </c>
      <c r="W41" s="388">
        <f t="shared" si="14"/>
        <v>34757</v>
      </c>
      <c r="X41" s="222">
        <f t="shared" si="5"/>
        <v>0.53391978329958567</v>
      </c>
      <c r="Y41" s="421">
        <f t="shared" si="13"/>
        <v>0.53391978329958567</v>
      </c>
      <c r="Z41" s="223">
        <f t="shared" si="6"/>
        <v>0.76695989164979284</v>
      </c>
      <c r="AA41" s="224" t="str">
        <f t="shared" si="15"/>
        <v>CA-No</v>
      </c>
      <c r="AB41" s="225" t="str">
        <f t="shared" si="8"/>
        <v>CA-Dem</v>
      </c>
      <c r="AC41" s="422" t="str">
        <f>C41&amp;"-"&amp;IF(Y41&gt;Instructions!$H$14,Instructions!$I$14,IF(Y41&gt;Instructions!$H$15,Instructions!$I$15,IF(Y41&gt;Instructions!$H$16,Instructions!$I$16,IF(Y41&gt;Instructions!$H$17,Instructions!$I$17,Instructions!$I$18))))</f>
        <v>CA-No contest</v>
      </c>
      <c r="AD41" s="226">
        <f t="shared" si="9"/>
        <v>0</v>
      </c>
      <c r="AE41" s="226">
        <f t="shared" si="10"/>
        <v>34757</v>
      </c>
      <c r="AF41" s="227">
        <f t="shared" si="11"/>
        <v>0</v>
      </c>
      <c r="AG41" s="341">
        <f t="shared" si="12"/>
        <v>34757</v>
      </c>
    </row>
    <row r="42" spans="1:34">
      <c r="A42" s="352" t="s">
        <v>68</v>
      </c>
      <c r="B42" s="427">
        <v>15</v>
      </c>
      <c r="C42" s="220" t="s">
        <v>4</v>
      </c>
      <c r="D42" s="379" t="s">
        <v>416</v>
      </c>
      <c r="E42"/>
      <c r="F42"/>
      <c r="G42"/>
      <c r="H42"/>
      <c r="I42"/>
      <c r="J42" t="str">
        <f t="shared" si="0"/>
        <v>CA-Yes</v>
      </c>
      <c r="K42" t="str">
        <f t="shared" si="1"/>
        <v>CA-Yes</v>
      </c>
      <c r="L42" s="417"/>
      <c r="M42" s="417"/>
      <c r="N42" s="255">
        <v>2012</v>
      </c>
      <c r="O42" s="416">
        <v>99756</v>
      </c>
      <c r="P42" s="416"/>
      <c r="Q42" s="416">
        <v>43148</v>
      </c>
      <c r="R42" s="416"/>
      <c r="S42" s="416">
        <v>0</v>
      </c>
      <c r="T42" s="353">
        <f t="shared" si="2"/>
        <v>142904</v>
      </c>
      <c r="U42" s="228"/>
      <c r="V42" s="221">
        <f t="shared" si="3"/>
        <v>99756</v>
      </c>
      <c r="W42" s="388">
        <f t="shared" si="14"/>
        <v>43148</v>
      </c>
      <c r="X42" s="222">
        <f t="shared" si="5"/>
        <v>0.39612607064882721</v>
      </c>
      <c r="Y42" s="421">
        <f t="shared" si="13"/>
        <v>0.39612607064882721</v>
      </c>
      <c r="Z42" s="223">
        <f t="shared" si="6"/>
        <v>0.69806303532441361</v>
      </c>
      <c r="AA42" s="224" t="str">
        <f t="shared" si="15"/>
        <v>CA-No</v>
      </c>
      <c r="AB42" s="225" t="str">
        <f t="shared" si="8"/>
        <v>CA-Dem</v>
      </c>
      <c r="AC42" s="422" t="str">
        <f>C42&amp;"-"&amp;IF(Y42&gt;Instructions!$H$14,Instructions!$I$14,IF(Y42&gt;Instructions!$H$15,Instructions!$I$15,IF(Y42&gt;Instructions!$H$16,Instructions!$I$16,IF(Y42&gt;Instructions!$H$17,Instructions!$I$17,Instructions!$I$18))))</f>
        <v>CA-Landslide</v>
      </c>
      <c r="AD42" s="226">
        <f t="shared" si="9"/>
        <v>0</v>
      </c>
      <c r="AE42" s="226">
        <f t="shared" si="10"/>
        <v>43148</v>
      </c>
      <c r="AF42" s="227">
        <f t="shared" si="11"/>
        <v>0</v>
      </c>
      <c r="AG42" s="341">
        <f t="shared" si="12"/>
        <v>43148</v>
      </c>
    </row>
    <row r="43" spans="1:34">
      <c r="A43" s="352" t="s">
        <v>68</v>
      </c>
      <c r="B43" s="427">
        <v>16</v>
      </c>
      <c r="C43" s="220" t="s">
        <v>4</v>
      </c>
      <c r="D43" s="379" t="s">
        <v>417</v>
      </c>
      <c r="E43"/>
      <c r="F43"/>
      <c r="G43"/>
      <c r="H43"/>
      <c r="I43"/>
      <c r="J43" t="str">
        <f t="shared" si="0"/>
        <v>CA-Yes</v>
      </c>
      <c r="K43" t="str">
        <f t="shared" si="1"/>
        <v>CA-Yes</v>
      </c>
      <c r="L43" s="417"/>
      <c r="M43" s="417"/>
      <c r="N43" s="255">
        <v>2004</v>
      </c>
      <c r="O43" s="416">
        <v>46277</v>
      </c>
      <c r="P43" s="416"/>
      <c r="Q43" s="416">
        <v>44943</v>
      </c>
      <c r="R43" s="416"/>
      <c r="S43" s="416">
        <v>0</v>
      </c>
      <c r="T43" s="353">
        <f t="shared" si="2"/>
        <v>91220</v>
      </c>
      <c r="U43" s="228"/>
      <c r="V43" s="221">
        <f t="shared" si="3"/>
        <v>46277</v>
      </c>
      <c r="W43" s="388">
        <f t="shared" si="14"/>
        <v>44943</v>
      </c>
      <c r="X43" s="222">
        <f t="shared" si="5"/>
        <v>1.4623985967989476E-2</v>
      </c>
      <c r="Y43" s="421">
        <f t="shared" si="13"/>
        <v>1.4623985967989528E-2</v>
      </c>
      <c r="Z43" s="223">
        <f t="shared" si="6"/>
        <v>0.50731199298399476</v>
      </c>
      <c r="AA43" s="224" t="str">
        <f t="shared" si="15"/>
        <v>CA-No</v>
      </c>
      <c r="AB43" s="225" t="str">
        <f t="shared" si="8"/>
        <v>CA-Dem</v>
      </c>
      <c r="AC43" s="422" t="str">
        <f>C43&amp;"-"&amp;IF(Y43&gt;Instructions!$H$14,Instructions!$I$14,IF(Y43&gt;Instructions!$H$15,Instructions!$I$15,IF(Y43&gt;Instructions!$H$16,Instructions!$I$16,IF(Y43&gt;Instructions!$H$17,Instructions!$I$17,Instructions!$I$18))))</f>
        <v>CA-Tight</v>
      </c>
      <c r="AD43" s="226">
        <f t="shared" si="9"/>
        <v>0</v>
      </c>
      <c r="AE43" s="226">
        <f t="shared" si="10"/>
        <v>44943</v>
      </c>
      <c r="AF43" s="227">
        <f t="shared" si="11"/>
        <v>0</v>
      </c>
      <c r="AG43" s="341">
        <f t="shared" si="12"/>
        <v>44943</v>
      </c>
    </row>
    <row r="44" spans="1:34">
      <c r="A44" s="352" t="s">
        <v>68</v>
      </c>
      <c r="B44" s="427">
        <v>17</v>
      </c>
      <c r="C44" s="220" t="s">
        <v>4</v>
      </c>
      <c r="D44" s="379" t="s">
        <v>418</v>
      </c>
      <c r="E44" s="379"/>
      <c r="F44"/>
      <c r="G44"/>
      <c r="H44" t="s">
        <v>344</v>
      </c>
      <c r="I44"/>
      <c r="J44" t="str">
        <f t="shared" si="0"/>
        <v>CA-Yes</v>
      </c>
      <c r="K44" t="str">
        <f t="shared" si="1"/>
        <v>CA-Yes</v>
      </c>
      <c r="L44" s="417"/>
      <c r="M44" s="417"/>
      <c r="N44" s="255">
        <v>2000</v>
      </c>
      <c r="O44" s="416">
        <v>69561</v>
      </c>
      <c r="P44" s="416">
        <v>64847</v>
      </c>
      <c r="Q44" s="416">
        <v>0</v>
      </c>
      <c r="R44" s="416"/>
      <c r="S44" s="416">
        <v>0</v>
      </c>
      <c r="T44" s="353">
        <f t="shared" si="2"/>
        <v>134408</v>
      </c>
      <c r="U44" s="228"/>
      <c r="V44" s="221">
        <f t="shared" si="3"/>
        <v>69561</v>
      </c>
      <c r="W44" s="388">
        <f t="shared" si="14"/>
        <v>64847</v>
      </c>
      <c r="X44" s="222">
        <f t="shared" si="5"/>
        <v>1</v>
      </c>
      <c r="Y44" s="421">
        <f t="shared" si="13"/>
        <v>3.5072317123980679E-2</v>
      </c>
      <c r="Z44" s="223">
        <f t="shared" si="6"/>
        <v>0.51753615856199031</v>
      </c>
      <c r="AA44" s="224" t="str">
        <f t="shared" si="15"/>
        <v>CA-Yes</v>
      </c>
      <c r="AB44" s="225" t="str">
        <f t="shared" si="8"/>
        <v>CA-Dem</v>
      </c>
      <c r="AC44" s="422" t="str">
        <f>C44&amp;"-"&amp;IF(Y44&gt;Instructions!$H$14,Instructions!$I$14,IF(Y44&gt;Instructions!$H$15,Instructions!$I$15,IF(Y44&gt;Instructions!$H$16,Instructions!$I$16,IF(Y44&gt;Instructions!$H$17,Instructions!$I$17,Instructions!$I$18))))</f>
        <v>CA-Tight</v>
      </c>
      <c r="AD44" s="226">
        <f t="shared" si="9"/>
        <v>0</v>
      </c>
      <c r="AE44" s="226">
        <f t="shared" si="10"/>
        <v>0</v>
      </c>
      <c r="AF44" s="227">
        <f t="shared" si="11"/>
        <v>0</v>
      </c>
      <c r="AG44" s="341">
        <f t="shared" si="12"/>
        <v>0</v>
      </c>
    </row>
    <row r="45" spans="1:34">
      <c r="A45" s="352" t="s">
        <v>68</v>
      </c>
      <c r="B45" s="427">
        <v>18</v>
      </c>
      <c r="C45" s="220" t="s">
        <v>4</v>
      </c>
      <c r="D45" s="379" t="s">
        <v>419</v>
      </c>
      <c r="E45" s="379" t="s">
        <v>344</v>
      </c>
      <c r="F45" s="379"/>
      <c r="G45"/>
      <c r="H45"/>
      <c r="I45"/>
      <c r="J45" t="str">
        <f t="shared" si="0"/>
        <v>CA-Yes</v>
      </c>
      <c r="K45" t="str">
        <f t="shared" si="1"/>
        <v>CA-Yes</v>
      </c>
      <c r="L45" s="417"/>
      <c r="M45" s="417"/>
      <c r="N45" s="255">
        <v>1992</v>
      </c>
      <c r="O45" s="416">
        <v>133060</v>
      </c>
      <c r="P45" s="416"/>
      <c r="Q45" s="416">
        <v>63326</v>
      </c>
      <c r="R45" s="416"/>
      <c r="S45" s="416">
        <v>0</v>
      </c>
      <c r="T45" s="353">
        <f t="shared" si="2"/>
        <v>196386</v>
      </c>
      <c r="U45" s="228"/>
      <c r="V45" s="221">
        <f t="shared" si="3"/>
        <v>133060</v>
      </c>
      <c r="W45" s="388">
        <f t="shared" si="14"/>
        <v>63326</v>
      </c>
      <c r="X45" s="222">
        <f t="shared" si="5"/>
        <v>0.3550864114549917</v>
      </c>
      <c r="Y45" s="421">
        <f t="shared" si="13"/>
        <v>0.35508641145499165</v>
      </c>
      <c r="Z45" s="223">
        <f t="shared" si="6"/>
        <v>0.67754320572749582</v>
      </c>
      <c r="AA45" s="224" t="str">
        <f t="shared" si="15"/>
        <v>CA-No</v>
      </c>
      <c r="AB45" s="225" t="str">
        <f t="shared" si="8"/>
        <v>CA-Dem</v>
      </c>
      <c r="AC45" s="422" t="str">
        <f>C45&amp;"-"&amp;IF(Y45&gt;Instructions!$H$14,Instructions!$I$14,IF(Y45&gt;Instructions!$H$15,Instructions!$I$15,IF(Y45&gt;Instructions!$H$16,Instructions!$I$16,IF(Y45&gt;Instructions!$H$17,Instructions!$I$17,Instructions!$I$18))))</f>
        <v>CA-Landslide</v>
      </c>
      <c r="AD45" s="226">
        <f t="shared" si="9"/>
        <v>0</v>
      </c>
      <c r="AE45" s="226">
        <f t="shared" si="10"/>
        <v>63326</v>
      </c>
      <c r="AF45" s="227">
        <f t="shared" si="11"/>
        <v>0</v>
      </c>
      <c r="AG45" s="341">
        <f t="shared" si="12"/>
        <v>63326</v>
      </c>
      <c r="AH45" s="380"/>
    </row>
    <row r="46" spans="1:34">
      <c r="A46" s="352" t="s">
        <v>68</v>
      </c>
      <c r="B46" s="427">
        <v>19</v>
      </c>
      <c r="C46" s="220" t="s">
        <v>4</v>
      </c>
      <c r="D46" s="379" t="s">
        <v>420</v>
      </c>
      <c r="E46" s="379" t="s">
        <v>344</v>
      </c>
      <c r="F46" s="379"/>
      <c r="G46"/>
      <c r="H46"/>
      <c r="I46"/>
      <c r="J46" t="str">
        <f t="shared" si="0"/>
        <v>CA-Yes</v>
      </c>
      <c r="K46" t="str">
        <f t="shared" si="1"/>
        <v>CA-Yes</v>
      </c>
      <c r="L46" s="417"/>
      <c r="M46" s="417"/>
      <c r="N46" s="255">
        <v>1994</v>
      </c>
      <c r="O46" s="416">
        <v>85888</v>
      </c>
      <c r="P46" s="416">
        <v>41900</v>
      </c>
      <c r="Q46" s="416">
        <v>0</v>
      </c>
      <c r="R46" s="416"/>
      <c r="S46" s="416">
        <v>0</v>
      </c>
      <c r="T46" s="353">
        <f t="shared" si="2"/>
        <v>127788</v>
      </c>
      <c r="U46" s="228"/>
      <c r="V46" s="221">
        <f t="shared" si="3"/>
        <v>85888</v>
      </c>
      <c r="W46" s="388">
        <f t="shared" si="14"/>
        <v>41900</v>
      </c>
      <c r="X46" s="222">
        <f t="shared" si="5"/>
        <v>1</v>
      </c>
      <c r="Y46" s="421">
        <f t="shared" si="13"/>
        <v>0.34422637493348357</v>
      </c>
      <c r="Z46" s="223">
        <f t="shared" si="6"/>
        <v>0.67211318746674176</v>
      </c>
      <c r="AA46" s="224" t="str">
        <f t="shared" si="15"/>
        <v>CA-Yes</v>
      </c>
      <c r="AB46" s="225" t="str">
        <f t="shared" si="8"/>
        <v>CA-Dem</v>
      </c>
      <c r="AC46" s="422" t="str">
        <f>C46&amp;"-"&amp;IF(Y46&gt;Instructions!$H$14,Instructions!$I$14,IF(Y46&gt;Instructions!$H$15,Instructions!$I$15,IF(Y46&gt;Instructions!$H$16,Instructions!$I$16,IF(Y46&gt;Instructions!$H$17,Instructions!$I$17,Instructions!$I$18))))</f>
        <v>CA-Landslide</v>
      </c>
      <c r="AD46" s="226">
        <f t="shared" si="9"/>
        <v>0</v>
      </c>
      <c r="AE46" s="226">
        <f t="shared" si="10"/>
        <v>0</v>
      </c>
      <c r="AF46" s="227">
        <f t="shared" si="11"/>
        <v>0</v>
      </c>
      <c r="AG46" s="341">
        <f t="shared" si="12"/>
        <v>0</v>
      </c>
      <c r="AH46" s="380"/>
    </row>
    <row r="47" spans="1:34">
      <c r="A47" s="352" t="s">
        <v>68</v>
      </c>
      <c r="B47" s="427">
        <v>20</v>
      </c>
      <c r="C47" s="220" t="s">
        <v>4</v>
      </c>
      <c r="D47" s="379" t="s">
        <v>421</v>
      </c>
      <c r="E47" s="379"/>
      <c r="F47"/>
      <c r="G47"/>
      <c r="H47"/>
      <c r="I47"/>
      <c r="J47" t="str">
        <f t="shared" si="0"/>
        <v>CA-Yes</v>
      </c>
      <c r="K47" t="str">
        <f t="shared" si="1"/>
        <v>CA-Yes</v>
      </c>
      <c r="L47" s="417"/>
      <c r="M47" s="417"/>
      <c r="N47" s="255">
        <v>1993</v>
      </c>
      <c r="O47" s="416">
        <v>106034</v>
      </c>
      <c r="P47" s="416"/>
      <c r="Q47" s="416">
        <v>0</v>
      </c>
      <c r="R47" s="416"/>
      <c r="S47" s="416">
        <v>35010</v>
      </c>
      <c r="T47" s="353">
        <f t="shared" si="2"/>
        <v>141044</v>
      </c>
      <c r="U47" s="228"/>
      <c r="V47" s="221">
        <f t="shared" si="3"/>
        <v>106034</v>
      </c>
      <c r="W47" s="388">
        <f t="shared" si="14"/>
        <v>35010</v>
      </c>
      <c r="X47" s="222">
        <f t="shared" si="5"/>
        <v>1</v>
      </c>
      <c r="Y47" s="421">
        <f t="shared" si="13"/>
        <v>0.50355917302402098</v>
      </c>
      <c r="Z47" s="223">
        <f t="shared" si="6"/>
        <v>0.75177958651201049</v>
      </c>
      <c r="AA47" s="224" t="str">
        <f t="shared" si="15"/>
        <v>CA-Yes</v>
      </c>
      <c r="AB47" s="225" t="str">
        <f t="shared" si="8"/>
        <v>CA-Dem</v>
      </c>
      <c r="AC47" s="422" t="str">
        <f>C47&amp;"-"&amp;IF(Y47&gt;Instructions!$H$14,Instructions!$I$14,IF(Y47&gt;Instructions!$H$15,Instructions!$I$15,IF(Y47&gt;Instructions!$H$16,Instructions!$I$16,IF(Y47&gt;Instructions!$H$17,Instructions!$I$17,Instructions!$I$18))))</f>
        <v>CA-No contest</v>
      </c>
      <c r="AD47" s="226">
        <f t="shared" si="9"/>
        <v>0</v>
      </c>
      <c r="AE47" s="226">
        <f t="shared" si="10"/>
        <v>0</v>
      </c>
      <c r="AF47" s="227">
        <f t="shared" si="11"/>
        <v>35010</v>
      </c>
      <c r="AG47" s="341">
        <f t="shared" si="12"/>
        <v>35010</v>
      </c>
      <c r="AH47" s="380"/>
    </row>
    <row r="48" spans="1:34">
      <c r="A48" s="352" t="s">
        <v>68</v>
      </c>
      <c r="B48" s="427">
        <v>21</v>
      </c>
      <c r="C48" s="220" t="s">
        <v>4</v>
      </c>
      <c r="D48" s="379" t="s">
        <v>422</v>
      </c>
      <c r="E48" s="379"/>
      <c r="F48"/>
      <c r="G48"/>
      <c r="H48"/>
      <c r="I48"/>
      <c r="J48" t="str">
        <f t="shared" si="0"/>
        <v>CA-Yes</v>
      </c>
      <c r="K48" t="str">
        <f t="shared" si="1"/>
        <v>CA-Yes</v>
      </c>
      <c r="L48" s="415"/>
      <c r="M48" s="415"/>
      <c r="N48" s="255">
        <v>2012</v>
      </c>
      <c r="O48" s="416">
        <v>33470</v>
      </c>
      <c r="P48" s="416"/>
      <c r="Q48" s="416">
        <v>45907</v>
      </c>
      <c r="R48" s="416"/>
      <c r="S48" s="416">
        <v>0</v>
      </c>
      <c r="T48" s="353">
        <f t="shared" si="2"/>
        <v>79377</v>
      </c>
      <c r="U48" s="228"/>
      <c r="V48" s="221">
        <f t="shared" si="3"/>
        <v>45907</v>
      </c>
      <c r="W48" s="388">
        <f t="shared" si="14"/>
        <v>33470</v>
      </c>
      <c r="X48" s="222">
        <f t="shared" si="5"/>
        <v>0.15668266626352723</v>
      </c>
      <c r="Y48" s="421">
        <f t="shared" si="13"/>
        <v>0.15668266626352723</v>
      </c>
      <c r="Z48" s="223">
        <f t="shared" si="6"/>
        <v>0.57834133313176361</v>
      </c>
      <c r="AA48" s="224" t="str">
        <f t="shared" si="15"/>
        <v>CA-No</v>
      </c>
      <c r="AB48" s="225" t="str">
        <f t="shared" si="8"/>
        <v>CA-Rep</v>
      </c>
      <c r="AC48" s="422" t="str">
        <f>C48&amp;"-"&amp;IF(Y48&gt;Instructions!$H$14,Instructions!$I$14,IF(Y48&gt;Instructions!$H$15,Instructions!$I$15,IF(Y48&gt;Instructions!$H$16,Instructions!$I$16,IF(Y48&gt;Instructions!$H$17,Instructions!$I$17,Instructions!$I$18))))</f>
        <v>CA-Opportunity</v>
      </c>
      <c r="AD48" s="226">
        <f t="shared" si="9"/>
        <v>33470</v>
      </c>
      <c r="AE48" s="226">
        <f t="shared" si="10"/>
        <v>0</v>
      </c>
      <c r="AF48" s="227">
        <f t="shared" si="11"/>
        <v>0</v>
      </c>
      <c r="AG48" s="341">
        <f t="shared" si="12"/>
        <v>33470</v>
      </c>
      <c r="AH48" s="380"/>
    </row>
    <row r="49" spans="1:34">
      <c r="A49" s="415" t="s">
        <v>68</v>
      </c>
      <c r="B49" s="427">
        <v>22</v>
      </c>
      <c r="C49" s="220" t="s">
        <v>4</v>
      </c>
      <c r="D49" s="379" t="s">
        <v>423</v>
      </c>
      <c r="E49" s="379"/>
      <c r="F49" s="379"/>
      <c r="G49" s="379"/>
      <c r="H49" s="379"/>
      <c r="I49" s="379"/>
      <c r="J49" s="379" t="str">
        <f t="shared" si="0"/>
        <v>CA-Yes</v>
      </c>
      <c r="K49" s="379" t="str">
        <f t="shared" si="1"/>
        <v>CA-Yes</v>
      </c>
      <c r="L49" s="415"/>
      <c r="M49" s="415"/>
      <c r="N49" s="255">
        <v>2002</v>
      </c>
      <c r="O49" s="416">
        <v>37289</v>
      </c>
      <c r="P49" s="416"/>
      <c r="Q49" s="416">
        <v>96053</v>
      </c>
      <c r="R49" s="416"/>
      <c r="S49" s="416">
        <v>0</v>
      </c>
      <c r="T49" s="353">
        <f t="shared" si="2"/>
        <v>133342</v>
      </c>
      <c r="U49" s="228"/>
      <c r="V49" s="221">
        <f t="shared" si="3"/>
        <v>96053</v>
      </c>
      <c r="W49" s="388">
        <f t="shared" si="14"/>
        <v>37289</v>
      </c>
      <c r="X49" s="222">
        <f t="shared" si="5"/>
        <v>0.44070135441196323</v>
      </c>
      <c r="Y49" s="421">
        <f t="shared" si="13"/>
        <v>0.44070135441196318</v>
      </c>
      <c r="Z49" s="223">
        <f t="shared" si="6"/>
        <v>0.72035067720598156</v>
      </c>
      <c r="AA49" s="224" t="str">
        <f t="shared" si="15"/>
        <v>CA-No</v>
      </c>
      <c r="AB49" s="225" t="str">
        <f t="shared" si="8"/>
        <v>CA-Rep</v>
      </c>
      <c r="AC49" s="422" t="str">
        <f>C49&amp;"-"&amp;IF(Y49&gt;Instructions!$H$14,Instructions!$I$14,IF(Y49&gt;Instructions!$H$15,Instructions!$I$15,IF(Y49&gt;Instructions!$H$16,Instructions!$I$16,IF(Y49&gt;Instructions!$H$17,Instructions!$I$17,Instructions!$I$18))))</f>
        <v>CA-No contest</v>
      </c>
      <c r="AD49" s="226">
        <f t="shared" si="9"/>
        <v>37289</v>
      </c>
      <c r="AE49" s="226">
        <f t="shared" si="10"/>
        <v>0</v>
      </c>
      <c r="AF49" s="227">
        <f t="shared" si="11"/>
        <v>0</v>
      </c>
      <c r="AG49" s="413">
        <f t="shared" si="12"/>
        <v>37289</v>
      </c>
      <c r="AH49" s="380"/>
    </row>
    <row r="50" spans="1:34">
      <c r="A50" s="415" t="s">
        <v>68</v>
      </c>
      <c r="B50" s="427">
        <v>23</v>
      </c>
      <c r="C50" s="220" t="s">
        <v>4</v>
      </c>
      <c r="D50" s="379" t="s">
        <v>424</v>
      </c>
      <c r="E50" s="379"/>
      <c r="F50" s="379"/>
      <c r="G50" s="379"/>
      <c r="H50" s="379"/>
      <c r="I50" s="379"/>
      <c r="J50" s="379" t="str">
        <f t="shared" si="0"/>
        <v>CA-Yes</v>
      </c>
      <c r="K50" s="379" t="str">
        <f t="shared" si="1"/>
        <v>CA-Yes</v>
      </c>
      <c r="L50" s="415"/>
      <c r="M50" s="415"/>
      <c r="N50" s="255">
        <v>2006</v>
      </c>
      <c r="O50" s="416">
        <v>33726</v>
      </c>
      <c r="P50" s="416"/>
      <c r="Q50" s="416">
        <v>100317</v>
      </c>
      <c r="R50" s="416"/>
      <c r="S50" s="416">
        <v>0</v>
      </c>
      <c r="T50" s="353">
        <f t="shared" si="2"/>
        <v>134043</v>
      </c>
      <c r="U50" s="228"/>
      <c r="V50" s="221">
        <f t="shared" si="3"/>
        <v>100317</v>
      </c>
      <c r="W50" s="388">
        <f t="shared" si="14"/>
        <v>33726</v>
      </c>
      <c r="X50" s="222">
        <f t="shared" si="5"/>
        <v>0.49678834403885319</v>
      </c>
      <c r="Y50" s="421">
        <f t="shared" si="13"/>
        <v>0.49678834403885319</v>
      </c>
      <c r="Z50" s="223">
        <f t="shared" si="6"/>
        <v>0.7483941720194266</v>
      </c>
      <c r="AA50" s="224" t="str">
        <f t="shared" si="15"/>
        <v>CA-No</v>
      </c>
      <c r="AB50" s="225" t="str">
        <f t="shared" si="8"/>
        <v>CA-Rep</v>
      </c>
      <c r="AC50" s="422" t="str">
        <f>C50&amp;"-"&amp;IF(Y50&gt;Instructions!$H$14,Instructions!$I$14,IF(Y50&gt;Instructions!$H$15,Instructions!$I$15,IF(Y50&gt;Instructions!$H$16,Instructions!$I$16,IF(Y50&gt;Instructions!$H$17,Instructions!$I$17,Instructions!$I$18))))</f>
        <v>CA-No contest</v>
      </c>
      <c r="AD50" s="226">
        <f t="shared" si="9"/>
        <v>33726</v>
      </c>
      <c r="AE50" s="226">
        <f t="shared" si="10"/>
        <v>0</v>
      </c>
      <c r="AF50" s="227">
        <f t="shared" si="11"/>
        <v>0</v>
      </c>
      <c r="AG50" s="413">
        <f t="shared" si="12"/>
        <v>33726</v>
      </c>
      <c r="AH50" s="380"/>
    </row>
    <row r="51" spans="1:34">
      <c r="A51" s="352" t="s">
        <v>68</v>
      </c>
      <c r="B51" s="427">
        <v>24</v>
      </c>
      <c r="C51" s="220" t="s">
        <v>4</v>
      </c>
      <c r="D51" s="379" t="s">
        <v>425</v>
      </c>
      <c r="E51" t="s">
        <v>344</v>
      </c>
      <c r="F51"/>
      <c r="G51"/>
      <c r="H51"/>
      <c r="I51"/>
      <c r="J51" t="str">
        <f t="shared" si="0"/>
        <v>CA-Yes</v>
      </c>
      <c r="K51" t="str">
        <f t="shared" si="1"/>
        <v>CA-Yes</v>
      </c>
      <c r="L51" s="417"/>
      <c r="M51" s="417"/>
      <c r="N51" s="255">
        <v>1998</v>
      </c>
      <c r="O51" s="416">
        <v>103228</v>
      </c>
      <c r="P51" s="416"/>
      <c r="Q51" s="416">
        <v>95566</v>
      </c>
      <c r="R51" s="416"/>
      <c r="S51" s="416">
        <v>0</v>
      </c>
      <c r="T51" s="353">
        <f t="shared" si="2"/>
        <v>198794</v>
      </c>
      <c r="U51" s="228"/>
      <c r="V51" s="221">
        <f t="shared" si="3"/>
        <v>103228</v>
      </c>
      <c r="W51" s="388">
        <f t="shared" si="14"/>
        <v>95566</v>
      </c>
      <c r="X51" s="222">
        <f t="shared" si="5"/>
        <v>3.8542410736742555E-2</v>
      </c>
      <c r="Y51" s="421">
        <f t="shared" si="13"/>
        <v>3.8542410736742527E-2</v>
      </c>
      <c r="Z51" s="223">
        <f t="shared" si="6"/>
        <v>0.51927120536837124</v>
      </c>
      <c r="AA51" s="224" t="str">
        <f t="shared" si="15"/>
        <v>CA-No</v>
      </c>
      <c r="AB51" s="225" t="str">
        <f t="shared" si="8"/>
        <v>CA-Dem</v>
      </c>
      <c r="AC51" s="422" t="str">
        <f>C51&amp;"-"&amp;IF(Y51&gt;Instructions!$H$14,Instructions!$I$14,IF(Y51&gt;Instructions!$H$15,Instructions!$I$15,IF(Y51&gt;Instructions!$H$16,Instructions!$I$16,IF(Y51&gt;Instructions!$H$17,Instructions!$I$17,Instructions!$I$18))))</f>
        <v>CA-Tight</v>
      </c>
      <c r="AD51" s="226">
        <f t="shared" si="9"/>
        <v>0</v>
      </c>
      <c r="AE51" s="226">
        <f t="shared" si="10"/>
        <v>95566</v>
      </c>
      <c r="AF51" s="227">
        <f t="shared" si="11"/>
        <v>0</v>
      </c>
      <c r="AG51" s="341">
        <f t="shared" si="12"/>
        <v>95566</v>
      </c>
    </row>
    <row r="52" spans="1:34">
      <c r="A52" s="352" t="s">
        <v>68</v>
      </c>
      <c r="B52" s="427">
        <v>25</v>
      </c>
      <c r="C52" s="220" t="s">
        <v>4</v>
      </c>
      <c r="D52" s="379" t="s">
        <v>767</v>
      </c>
      <c r="E52"/>
      <c r="F52"/>
      <c r="G52"/>
      <c r="H52"/>
      <c r="I52"/>
      <c r="J52" t="str">
        <f t="shared" si="0"/>
        <v>CA-No</v>
      </c>
      <c r="K52" t="str">
        <f t="shared" si="1"/>
        <v>CA-No</v>
      </c>
      <c r="L52" s="415">
        <v>0</v>
      </c>
      <c r="M52" s="415"/>
      <c r="N52" s="255">
        <v>2014</v>
      </c>
      <c r="O52" s="416">
        <v>0</v>
      </c>
      <c r="P52" s="416"/>
      <c r="Q52" s="416">
        <v>60847</v>
      </c>
      <c r="R52" s="416">
        <v>53225</v>
      </c>
      <c r="S52" s="416">
        <v>0</v>
      </c>
      <c r="T52" s="353">
        <f t="shared" si="2"/>
        <v>114072</v>
      </c>
      <c r="U52" s="228"/>
      <c r="V52" s="221">
        <f t="shared" si="3"/>
        <v>60847</v>
      </c>
      <c r="W52" s="388">
        <f t="shared" si="14"/>
        <v>53225</v>
      </c>
      <c r="X52" s="222">
        <f t="shared" si="5"/>
        <v>1</v>
      </c>
      <c r="Y52" s="421">
        <f t="shared" si="13"/>
        <v>6.6817448628936127E-2</v>
      </c>
      <c r="Z52" s="223">
        <f t="shared" si="6"/>
        <v>0.53340872431446806</v>
      </c>
      <c r="AA52" s="224" t="str">
        <f t="shared" si="15"/>
        <v>CA-Yes</v>
      </c>
      <c r="AB52" s="225" t="str">
        <f t="shared" si="8"/>
        <v>CA-Rep</v>
      </c>
      <c r="AC52" s="422" t="str">
        <f>C52&amp;"-"&amp;IF(Y52&gt;Instructions!$H$14,Instructions!$I$14,IF(Y52&gt;Instructions!$H$15,Instructions!$I$15,IF(Y52&gt;Instructions!$H$16,Instructions!$I$16,IF(Y52&gt;Instructions!$H$17,Instructions!$I$17,Instructions!$I$18))))</f>
        <v>CA-Competitive</v>
      </c>
      <c r="AD52" s="226">
        <f t="shared" si="9"/>
        <v>0</v>
      </c>
      <c r="AE52" s="226">
        <f t="shared" si="10"/>
        <v>0</v>
      </c>
      <c r="AF52" s="227">
        <f t="shared" si="11"/>
        <v>0</v>
      </c>
      <c r="AG52" s="341">
        <f t="shared" si="12"/>
        <v>0</v>
      </c>
    </row>
    <row r="53" spans="1:34">
      <c r="A53" s="352" t="s">
        <v>68</v>
      </c>
      <c r="B53" s="427">
        <v>26</v>
      </c>
      <c r="C53" s="220" t="s">
        <v>4</v>
      </c>
      <c r="D53" s="379" t="s">
        <v>426</v>
      </c>
      <c r="E53" t="s">
        <v>344</v>
      </c>
      <c r="F53"/>
      <c r="G53"/>
      <c r="H53"/>
      <c r="I53"/>
      <c r="J53" t="str">
        <f t="shared" si="0"/>
        <v>CA-Yes</v>
      </c>
      <c r="K53" t="str">
        <f t="shared" si="1"/>
        <v>CA-Yes</v>
      </c>
      <c r="L53" s="417"/>
      <c r="M53" s="417"/>
      <c r="N53" s="255">
        <v>2012</v>
      </c>
      <c r="O53" s="416">
        <v>87176</v>
      </c>
      <c r="P53" s="416"/>
      <c r="Q53" s="416">
        <v>82653</v>
      </c>
      <c r="R53" s="416"/>
      <c r="S53" s="416">
        <v>0</v>
      </c>
      <c r="T53" s="353">
        <f t="shared" si="2"/>
        <v>169829</v>
      </c>
      <c r="U53" s="228"/>
      <c r="V53" s="221">
        <f t="shared" si="3"/>
        <v>87176</v>
      </c>
      <c r="W53" s="388">
        <f t="shared" si="14"/>
        <v>82653</v>
      </c>
      <c r="X53" s="222">
        <f t="shared" si="5"/>
        <v>2.6632671687403211E-2</v>
      </c>
      <c r="Y53" s="421">
        <f t="shared" si="13"/>
        <v>2.6632671687403242E-2</v>
      </c>
      <c r="Z53" s="223">
        <f t="shared" si="6"/>
        <v>0.51331633584370162</v>
      </c>
      <c r="AA53" s="224" t="str">
        <f t="shared" si="15"/>
        <v>CA-No</v>
      </c>
      <c r="AB53" s="225" t="str">
        <f t="shared" si="8"/>
        <v>CA-Dem</v>
      </c>
      <c r="AC53" s="422" t="str">
        <f>C53&amp;"-"&amp;IF(Y53&gt;Instructions!$H$14,Instructions!$I$14,IF(Y53&gt;Instructions!$H$15,Instructions!$I$15,IF(Y53&gt;Instructions!$H$16,Instructions!$I$16,IF(Y53&gt;Instructions!$H$17,Instructions!$I$17,Instructions!$I$18))))</f>
        <v>CA-Tight</v>
      </c>
      <c r="AD53" s="226">
        <f t="shared" si="9"/>
        <v>0</v>
      </c>
      <c r="AE53" s="226">
        <f t="shared" si="10"/>
        <v>82653</v>
      </c>
      <c r="AF53" s="227">
        <f t="shared" si="11"/>
        <v>0</v>
      </c>
      <c r="AG53" s="341">
        <f t="shared" si="12"/>
        <v>82653</v>
      </c>
      <c r="AH53" s="380"/>
    </row>
    <row r="54" spans="1:34">
      <c r="A54" s="352" t="s">
        <v>68</v>
      </c>
      <c r="B54" s="427">
        <v>27</v>
      </c>
      <c r="C54" s="220" t="s">
        <v>4</v>
      </c>
      <c r="D54" s="379" t="s">
        <v>427</v>
      </c>
      <c r="E54" t="s">
        <v>344</v>
      </c>
      <c r="F54"/>
      <c r="G54"/>
      <c r="H54" t="s">
        <v>344</v>
      </c>
      <c r="I54"/>
      <c r="J54" t="str">
        <f t="shared" si="0"/>
        <v>CA-Yes</v>
      </c>
      <c r="K54" t="str">
        <f t="shared" si="1"/>
        <v>CA-Yes</v>
      </c>
      <c r="L54" s="417"/>
      <c r="M54" s="417"/>
      <c r="N54" s="255">
        <v>2009</v>
      </c>
      <c r="O54" s="416">
        <v>75728</v>
      </c>
      <c r="P54" s="416"/>
      <c r="Q54" s="416">
        <v>51852</v>
      </c>
      <c r="R54" s="416"/>
      <c r="S54" s="416">
        <v>0</v>
      </c>
      <c r="T54" s="353">
        <f t="shared" si="2"/>
        <v>127580</v>
      </c>
      <c r="U54" s="228"/>
      <c r="V54" s="221">
        <f t="shared" si="3"/>
        <v>75728</v>
      </c>
      <c r="W54" s="388">
        <f t="shared" si="14"/>
        <v>51852</v>
      </c>
      <c r="X54" s="222">
        <f t="shared" si="5"/>
        <v>0.18714532058316349</v>
      </c>
      <c r="Y54" s="421">
        <f t="shared" si="13"/>
        <v>0.18714532058316347</v>
      </c>
      <c r="Z54" s="223">
        <f t="shared" si="6"/>
        <v>0.59357266029158173</v>
      </c>
      <c r="AA54" s="224" t="str">
        <f t="shared" si="15"/>
        <v>CA-No</v>
      </c>
      <c r="AB54" s="225" t="str">
        <f t="shared" si="8"/>
        <v>CA-Dem</v>
      </c>
      <c r="AC54" s="422" t="str">
        <f>C54&amp;"-"&amp;IF(Y54&gt;Instructions!$H$14,Instructions!$I$14,IF(Y54&gt;Instructions!$H$15,Instructions!$I$15,IF(Y54&gt;Instructions!$H$16,Instructions!$I$16,IF(Y54&gt;Instructions!$H$17,Instructions!$I$17,Instructions!$I$18))))</f>
        <v>CA-Opportunity</v>
      </c>
      <c r="AD54" s="226">
        <f t="shared" si="9"/>
        <v>0</v>
      </c>
      <c r="AE54" s="226">
        <f t="shared" si="10"/>
        <v>51852</v>
      </c>
      <c r="AF54" s="227">
        <f t="shared" si="11"/>
        <v>0</v>
      </c>
      <c r="AG54" s="341">
        <f t="shared" si="12"/>
        <v>51852</v>
      </c>
      <c r="AH54" s="380"/>
    </row>
    <row r="55" spans="1:34">
      <c r="A55" s="352" t="s">
        <v>68</v>
      </c>
      <c r="B55" s="427">
        <v>28</v>
      </c>
      <c r="C55" s="220" t="s">
        <v>4</v>
      </c>
      <c r="D55" s="379" t="s">
        <v>428</v>
      </c>
      <c r="E55"/>
      <c r="F55"/>
      <c r="G55"/>
      <c r="H55"/>
      <c r="I55"/>
      <c r="J55" t="str">
        <f t="shared" si="0"/>
        <v>CA-Yes</v>
      </c>
      <c r="K55" t="str">
        <f t="shared" si="1"/>
        <v>CA-Yes</v>
      </c>
      <c r="L55" s="417"/>
      <c r="M55" s="417"/>
      <c r="N55" s="255">
        <v>2000</v>
      </c>
      <c r="O55" s="416">
        <v>91996</v>
      </c>
      <c r="P55" s="416"/>
      <c r="Q55" s="416">
        <v>0</v>
      </c>
      <c r="R55" s="416"/>
      <c r="S55" s="416">
        <v>28268</v>
      </c>
      <c r="T55" s="353">
        <f t="shared" si="2"/>
        <v>120264</v>
      </c>
      <c r="U55" s="228"/>
      <c r="V55" s="221">
        <f t="shared" si="3"/>
        <v>91996</v>
      </c>
      <c r="W55" s="388">
        <f t="shared" si="14"/>
        <v>28268</v>
      </c>
      <c r="X55" s="222">
        <f t="shared" si="5"/>
        <v>1</v>
      </c>
      <c r="Y55" s="421">
        <f t="shared" si="13"/>
        <v>0.52990088472028196</v>
      </c>
      <c r="Z55" s="223">
        <f t="shared" si="6"/>
        <v>0.76495044236014098</v>
      </c>
      <c r="AA55" s="224" t="str">
        <f t="shared" si="15"/>
        <v>CA-Yes</v>
      </c>
      <c r="AB55" s="225" t="str">
        <f t="shared" si="8"/>
        <v>CA-Dem</v>
      </c>
      <c r="AC55" s="422" t="str">
        <f>C55&amp;"-"&amp;IF(Y55&gt;Instructions!$H$14,Instructions!$I$14,IF(Y55&gt;Instructions!$H$15,Instructions!$I$15,IF(Y55&gt;Instructions!$H$16,Instructions!$I$16,IF(Y55&gt;Instructions!$H$17,Instructions!$I$17,Instructions!$I$18))))</f>
        <v>CA-No contest</v>
      </c>
      <c r="AD55" s="226">
        <f t="shared" si="9"/>
        <v>0</v>
      </c>
      <c r="AE55" s="226">
        <f t="shared" si="10"/>
        <v>0</v>
      </c>
      <c r="AF55" s="227">
        <f t="shared" si="11"/>
        <v>28268</v>
      </c>
      <c r="AG55" s="341">
        <f t="shared" si="12"/>
        <v>28268</v>
      </c>
      <c r="AH55" s="380"/>
    </row>
    <row r="56" spans="1:34">
      <c r="A56" s="352" t="s">
        <v>68</v>
      </c>
      <c r="B56" s="427">
        <v>29</v>
      </c>
      <c r="C56" s="220" t="s">
        <v>4</v>
      </c>
      <c r="D56" s="379" t="s">
        <v>429</v>
      </c>
      <c r="E56"/>
      <c r="F56"/>
      <c r="G56" t="s">
        <v>344</v>
      </c>
      <c r="H56"/>
      <c r="I56"/>
      <c r="J56" t="str">
        <f t="shared" si="0"/>
        <v>CA-Yes</v>
      </c>
      <c r="K56" t="str">
        <f t="shared" si="1"/>
        <v>CA-Yes</v>
      </c>
      <c r="L56" s="417"/>
      <c r="M56" s="417"/>
      <c r="N56" s="255">
        <v>2012</v>
      </c>
      <c r="O56" s="416">
        <v>50096</v>
      </c>
      <c r="P56" s="416"/>
      <c r="Q56" s="416">
        <v>17045</v>
      </c>
      <c r="R56" s="416"/>
      <c r="S56" s="416">
        <v>0</v>
      </c>
      <c r="T56" s="353">
        <f t="shared" si="2"/>
        <v>67141</v>
      </c>
      <c r="U56" s="228"/>
      <c r="V56" s="221">
        <f t="shared" si="3"/>
        <v>50096</v>
      </c>
      <c r="W56" s="388">
        <f t="shared" si="14"/>
        <v>17045</v>
      </c>
      <c r="X56" s="222">
        <f t="shared" si="5"/>
        <v>0.49226255194292606</v>
      </c>
      <c r="Y56" s="421">
        <f t="shared" si="13"/>
        <v>0.49226255194292606</v>
      </c>
      <c r="Z56" s="223">
        <f t="shared" si="6"/>
        <v>0.746131275971463</v>
      </c>
      <c r="AA56" s="224" t="str">
        <f t="shared" si="15"/>
        <v>CA-No</v>
      </c>
      <c r="AB56" s="225" t="str">
        <f t="shared" si="8"/>
        <v>CA-Dem</v>
      </c>
      <c r="AC56" s="422" t="str">
        <f>C56&amp;"-"&amp;IF(Y56&gt;Instructions!$H$14,Instructions!$I$14,IF(Y56&gt;Instructions!$H$15,Instructions!$I$15,IF(Y56&gt;Instructions!$H$16,Instructions!$I$16,IF(Y56&gt;Instructions!$H$17,Instructions!$I$17,Instructions!$I$18))))</f>
        <v>CA-No contest</v>
      </c>
      <c r="AD56" s="226">
        <f t="shared" si="9"/>
        <v>0</v>
      </c>
      <c r="AE56" s="226">
        <f t="shared" si="10"/>
        <v>17045</v>
      </c>
      <c r="AF56" s="227">
        <f t="shared" si="11"/>
        <v>0</v>
      </c>
      <c r="AG56" s="341">
        <f t="shared" si="12"/>
        <v>17045</v>
      </c>
    </row>
    <row r="57" spans="1:34">
      <c r="A57" s="352" t="s">
        <v>68</v>
      </c>
      <c r="B57" s="427">
        <v>30</v>
      </c>
      <c r="C57" s="220" t="s">
        <v>4</v>
      </c>
      <c r="D57" s="379" t="s">
        <v>430</v>
      </c>
      <c r="E57"/>
      <c r="F57"/>
      <c r="G57"/>
      <c r="H57"/>
      <c r="I57"/>
      <c r="J57" t="str">
        <f t="shared" si="0"/>
        <v>CA-Yes</v>
      </c>
      <c r="K57" t="str">
        <f t="shared" si="1"/>
        <v>CA-Yes</v>
      </c>
      <c r="L57" s="417"/>
      <c r="M57" s="417"/>
      <c r="N57" s="255">
        <v>1982</v>
      </c>
      <c r="O57" s="416">
        <v>86568</v>
      </c>
      <c r="P57" s="416"/>
      <c r="Q57" s="416">
        <v>45315</v>
      </c>
      <c r="R57" s="416"/>
      <c r="S57" s="416">
        <v>0</v>
      </c>
      <c r="T57" s="353">
        <f t="shared" si="2"/>
        <v>131883</v>
      </c>
      <c r="U57" s="228"/>
      <c r="V57" s="221">
        <f t="shared" si="3"/>
        <v>86568</v>
      </c>
      <c r="W57" s="388">
        <f t="shared" si="14"/>
        <v>45315</v>
      </c>
      <c r="X57" s="222">
        <f t="shared" si="5"/>
        <v>0.31279998180205182</v>
      </c>
      <c r="Y57" s="421">
        <f t="shared" si="13"/>
        <v>0.31279998180205187</v>
      </c>
      <c r="Z57" s="223">
        <f t="shared" si="6"/>
        <v>0.65639999090102596</v>
      </c>
      <c r="AA57" s="224" t="str">
        <f t="shared" si="15"/>
        <v>CA-No</v>
      </c>
      <c r="AB57" s="225" t="str">
        <f t="shared" si="8"/>
        <v>CA-Dem</v>
      </c>
      <c r="AC57" s="422" t="str">
        <f>C57&amp;"-"&amp;IF(Y57&gt;Instructions!$H$14,Instructions!$I$14,IF(Y57&gt;Instructions!$H$15,Instructions!$I$15,IF(Y57&gt;Instructions!$H$16,Instructions!$I$16,IF(Y57&gt;Instructions!$H$17,Instructions!$I$17,Instructions!$I$18))))</f>
        <v>CA-Landslide</v>
      </c>
      <c r="AD57" s="226">
        <f t="shared" si="9"/>
        <v>0</v>
      </c>
      <c r="AE57" s="226">
        <f t="shared" si="10"/>
        <v>45315</v>
      </c>
      <c r="AF57" s="227">
        <f t="shared" si="11"/>
        <v>0</v>
      </c>
      <c r="AG57" s="341">
        <f t="shared" si="12"/>
        <v>45315</v>
      </c>
    </row>
    <row r="58" spans="1:34">
      <c r="A58" s="352" t="s">
        <v>68</v>
      </c>
      <c r="B58" s="427">
        <v>31</v>
      </c>
      <c r="C58" s="220" t="s">
        <v>4</v>
      </c>
      <c r="D58" s="379" t="s">
        <v>768</v>
      </c>
      <c r="E58"/>
      <c r="F58"/>
      <c r="G58" s="379" t="s">
        <v>344</v>
      </c>
      <c r="H58" s="381"/>
      <c r="I58"/>
      <c r="J58" t="str">
        <f t="shared" si="0"/>
        <v>CA-No</v>
      </c>
      <c r="K58" t="str">
        <f t="shared" si="1"/>
        <v>CA-No</v>
      </c>
      <c r="L58" s="415">
        <v>0</v>
      </c>
      <c r="M58" s="352">
        <v>1</v>
      </c>
      <c r="N58" s="255">
        <v>2014</v>
      </c>
      <c r="O58" s="416">
        <v>51622</v>
      </c>
      <c r="P58" s="416"/>
      <c r="Q58" s="416">
        <v>48162</v>
      </c>
      <c r="R58" s="416"/>
      <c r="S58" s="416">
        <v>0</v>
      </c>
      <c r="T58" s="353">
        <f t="shared" si="2"/>
        <v>99784</v>
      </c>
      <c r="U58" s="228"/>
      <c r="V58" s="221">
        <f t="shared" si="3"/>
        <v>51622</v>
      </c>
      <c r="W58" s="388">
        <f t="shared" si="14"/>
        <v>48162</v>
      </c>
      <c r="X58" s="222">
        <f t="shared" si="5"/>
        <v>3.467489777920308E-2</v>
      </c>
      <c r="Y58" s="421">
        <f t="shared" si="13"/>
        <v>3.4674897779203073E-2</v>
      </c>
      <c r="Z58" s="223">
        <f t="shared" si="6"/>
        <v>0.51733744888960154</v>
      </c>
      <c r="AA58" s="224" t="str">
        <f t="shared" si="15"/>
        <v>CA-No</v>
      </c>
      <c r="AB58" s="225" t="str">
        <f t="shared" si="8"/>
        <v>CA-Dem</v>
      </c>
      <c r="AC58" s="422" t="str">
        <f>C58&amp;"-"&amp;IF(Y58&gt;Instructions!$H$14,Instructions!$I$14,IF(Y58&gt;Instructions!$H$15,Instructions!$I$15,IF(Y58&gt;Instructions!$H$16,Instructions!$I$16,IF(Y58&gt;Instructions!$H$17,Instructions!$I$17,Instructions!$I$18))))</f>
        <v>CA-Tight</v>
      </c>
      <c r="AD58" s="226">
        <f t="shared" si="9"/>
        <v>0</v>
      </c>
      <c r="AE58" s="226">
        <f t="shared" si="10"/>
        <v>48162</v>
      </c>
      <c r="AF58" s="227">
        <f t="shared" si="11"/>
        <v>0</v>
      </c>
      <c r="AG58" s="341">
        <f t="shared" si="12"/>
        <v>48162</v>
      </c>
      <c r="AH58" s="380"/>
    </row>
    <row r="59" spans="1:34">
      <c r="A59" s="352" t="s">
        <v>68</v>
      </c>
      <c r="B59" s="427">
        <v>32</v>
      </c>
      <c r="C59" s="220" t="s">
        <v>4</v>
      </c>
      <c r="D59" s="379" t="s">
        <v>431</v>
      </c>
      <c r="E59" t="s">
        <v>344</v>
      </c>
      <c r="F59" s="381"/>
      <c r="G59" t="s">
        <v>344</v>
      </c>
      <c r="H59"/>
      <c r="I59"/>
      <c r="J59" t="str">
        <f t="shared" si="0"/>
        <v>CA-Yes</v>
      </c>
      <c r="K59" t="str">
        <f t="shared" si="1"/>
        <v>CA-Yes</v>
      </c>
      <c r="L59" s="417"/>
      <c r="M59" s="417"/>
      <c r="N59" s="255">
        <v>1998</v>
      </c>
      <c r="O59" s="416">
        <v>50353</v>
      </c>
      <c r="P59" s="416"/>
      <c r="Q59" s="416">
        <v>34053</v>
      </c>
      <c r="R59" s="416"/>
      <c r="S59" s="416">
        <v>0</v>
      </c>
      <c r="T59" s="353">
        <f t="shared" si="2"/>
        <v>84406</v>
      </c>
      <c r="U59" s="228"/>
      <c r="V59" s="221">
        <f t="shared" si="3"/>
        <v>50353</v>
      </c>
      <c r="W59" s="388">
        <f t="shared" si="14"/>
        <v>34053</v>
      </c>
      <c r="X59" s="222">
        <f t="shared" si="5"/>
        <v>0.19311423358529015</v>
      </c>
      <c r="Y59" s="421">
        <f t="shared" si="13"/>
        <v>0.19311423358529017</v>
      </c>
      <c r="Z59" s="223">
        <f t="shared" si="6"/>
        <v>0.59655711679264511</v>
      </c>
      <c r="AA59" s="224" t="str">
        <f t="shared" si="15"/>
        <v>CA-No</v>
      </c>
      <c r="AB59" s="225" t="str">
        <f t="shared" si="8"/>
        <v>CA-Dem</v>
      </c>
      <c r="AC59" s="422" t="str">
        <f>C59&amp;"-"&amp;IF(Y59&gt;Instructions!$H$14,Instructions!$I$14,IF(Y59&gt;Instructions!$H$15,Instructions!$I$15,IF(Y59&gt;Instructions!$H$16,Instructions!$I$16,IF(Y59&gt;Instructions!$H$17,Instructions!$I$17,Instructions!$I$18))))</f>
        <v>CA-Opportunity</v>
      </c>
      <c r="AD59" s="226">
        <f t="shared" si="9"/>
        <v>0</v>
      </c>
      <c r="AE59" s="226">
        <f t="shared" si="10"/>
        <v>34053</v>
      </c>
      <c r="AF59" s="227">
        <f t="shared" si="11"/>
        <v>0</v>
      </c>
      <c r="AG59" s="341">
        <f t="shared" si="12"/>
        <v>34053</v>
      </c>
    </row>
    <row r="60" spans="1:34">
      <c r="A60" s="352" t="s">
        <v>68</v>
      </c>
      <c r="B60" s="427">
        <v>33</v>
      </c>
      <c r="C60" s="220" t="s">
        <v>4</v>
      </c>
      <c r="D60" s="379" t="s">
        <v>769</v>
      </c>
      <c r="E60" s="379"/>
      <c r="F60" s="379"/>
      <c r="G60" s="381"/>
      <c r="H60" t="s">
        <v>344</v>
      </c>
      <c r="I60"/>
      <c r="J60" t="str">
        <f t="shared" si="0"/>
        <v>CA-No</v>
      </c>
      <c r="K60" t="str">
        <f t="shared" si="1"/>
        <v>CA-No</v>
      </c>
      <c r="L60" s="415">
        <v>0</v>
      </c>
      <c r="M60" s="417"/>
      <c r="N60" s="255">
        <v>2014</v>
      </c>
      <c r="O60" s="416">
        <v>108331</v>
      </c>
      <c r="P60" s="416"/>
      <c r="Q60" s="416">
        <v>74700</v>
      </c>
      <c r="R60" s="416"/>
      <c r="S60" s="416">
        <v>0</v>
      </c>
      <c r="T60" s="353">
        <f t="shared" si="2"/>
        <v>183031</v>
      </c>
      <c r="U60" s="228"/>
      <c r="V60" s="221">
        <f t="shared" si="3"/>
        <v>108331</v>
      </c>
      <c r="W60" s="388">
        <f t="shared" si="14"/>
        <v>74700</v>
      </c>
      <c r="X60" s="222">
        <f t="shared" si="5"/>
        <v>0.18374483011074627</v>
      </c>
      <c r="Y60" s="421">
        <f t="shared" si="13"/>
        <v>0.18374483011074627</v>
      </c>
      <c r="Z60" s="223">
        <f t="shared" si="6"/>
        <v>0.59187241505537314</v>
      </c>
      <c r="AA60" s="224" t="str">
        <f t="shared" si="15"/>
        <v>CA-No</v>
      </c>
      <c r="AB60" s="225" t="str">
        <f t="shared" si="8"/>
        <v>CA-Dem</v>
      </c>
      <c r="AC60" s="422" t="str">
        <f>C60&amp;"-"&amp;IF(Y60&gt;Instructions!$H$14,Instructions!$I$14,IF(Y60&gt;Instructions!$H$15,Instructions!$I$15,IF(Y60&gt;Instructions!$H$16,Instructions!$I$16,IF(Y60&gt;Instructions!$H$17,Instructions!$I$17,Instructions!$I$18))))</f>
        <v>CA-Opportunity</v>
      </c>
      <c r="AD60" s="226">
        <f t="shared" si="9"/>
        <v>0</v>
      </c>
      <c r="AE60" s="226">
        <f t="shared" si="10"/>
        <v>74700</v>
      </c>
      <c r="AF60" s="227">
        <f t="shared" si="11"/>
        <v>0</v>
      </c>
      <c r="AG60" s="341">
        <f t="shared" si="12"/>
        <v>74700</v>
      </c>
    </row>
    <row r="61" spans="1:34">
      <c r="A61" s="352" t="s">
        <v>68</v>
      </c>
      <c r="B61" s="427">
        <v>34</v>
      </c>
      <c r="C61" s="220" t="s">
        <v>4</v>
      </c>
      <c r="D61" s="379" t="s">
        <v>432</v>
      </c>
      <c r="E61"/>
      <c r="F61"/>
      <c r="G61"/>
      <c r="H61"/>
      <c r="I61"/>
      <c r="J61" t="str">
        <f t="shared" si="0"/>
        <v>CA-Yes</v>
      </c>
      <c r="K61" t="str">
        <f t="shared" si="1"/>
        <v>CA-Yes</v>
      </c>
      <c r="L61" s="417"/>
      <c r="M61" s="417"/>
      <c r="N61" s="255">
        <v>1992</v>
      </c>
      <c r="O61" s="416">
        <v>44697</v>
      </c>
      <c r="P61" s="416">
        <v>16924</v>
      </c>
      <c r="Q61" s="416">
        <v>0</v>
      </c>
      <c r="R61" s="416"/>
      <c r="S61" s="416">
        <v>0</v>
      </c>
      <c r="T61" s="353">
        <f t="shared" si="2"/>
        <v>61621</v>
      </c>
      <c r="U61" s="228"/>
      <c r="V61" s="221">
        <f t="shared" si="3"/>
        <v>44697</v>
      </c>
      <c r="W61" s="388">
        <f t="shared" si="14"/>
        <v>16924</v>
      </c>
      <c r="X61" s="222">
        <f t="shared" si="5"/>
        <v>1</v>
      </c>
      <c r="Y61" s="421">
        <f t="shared" si="13"/>
        <v>0.45070673958553087</v>
      </c>
      <c r="Z61" s="223">
        <f t="shared" si="6"/>
        <v>0.72535336979276543</v>
      </c>
      <c r="AA61" s="224" t="str">
        <f t="shared" si="15"/>
        <v>CA-Yes</v>
      </c>
      <c r="AB61" s="225" t="str">
        <f t="shared" si="8"/>
        <v>CA-Dem</v>
      </c>
      <c r="AC61" s="422" t="str">
        <f>C61&amp;"-"&amp;IF(Y61&gt;Instructions!$H$14,Instructions!$I$14,IF(Y61&gt;Instructions!$H$15,Instructions!$I$15,IF(Y61&gt;Instructions!$H$16,Instructions!$I$16,IF(Y61&gt;Instructions!$H$17,Instructions!$I$17,Instructions!$I$18))))</f>
        <v>CA-No contest</v>
      </c>
      <c r="AD61" s="226">
        <f t="shared" si="9"/>
        <v>0</v>
      </c>
      <c r="AE61" s="226">
        <f t="shared" si="10"/>
        <v>0</v>
      </c>
      <c r="AF61" s="227">
        <f t="shared" si="11"/>
        <v>0</v>
      </c>
      <c r="AG61" s="341">
        <f t="shared" si="12"/>
        <v>0</v>
      </c>
      <c r="AH61" s="380"/>
    </row>
    <row r="62" spans="1:34">
      <c r="A62" s="352" t="s">
        <v>68</v>
      </c>
      <c r="B62" s="427">
        <v>35</v>
      </c>
      <c r="C62" s="220" t="s">
        <v>4</v>
      </c>
      <c r="D62" s="379" t="s">
        <v>770</v>
      </c>
      <c r="E62" t="s">
        <v>344</v>
      </c>
      <c r="F62"/>
      <c r="G62" t="s">
        <v>344</v>
      </c>
      <c r="H62"/>
      <c r="I62"/>
      <c r="J62" t="str">
        <f t="shared" si="0"/>
        <v>CA-No</v>
      </c>
      <c r="K62" t="str">
        <f t="shared" si="1"/>
        <v>CA-No</v>
      </c>
      <c r="L62" s="415">
        <v>0</v>
      </c>
      <c r="M62" s="417"/>
      <c r="N62" s="255">
        <v>2014</v>
      </c>
      <c r="O62" s="416">
        <v>39502</v>
      </c>
      <c r="P62" s="416">
        <v>22753</v>
      </c>
      <c r="Q62" s="416">
        <v>0</v>
      </c>
      <c r="R62" s="416"/>
      <c r="S62" s="416">
        <v>0</v>
      </c>
      <c r="T62" s="353">
        <f t="shared" si="2"/>
        <v>62255</v>
      </c>
      <c r="U62" s="228"/>
      <c r="V62" s="221">
        <f t="shared" si="3"/>
        <v>39502</v>
      </c>
      <c r="W62" s="388">
        <f t="shared" si="14"/>
        <v>22753</v>
      </c>
      <c r="X62" s="222">
        <f t="shared" si="5"/>
        <v>1</v>
      </c>
      <c r="Y62" s="421">
        <f t="shared" si="13"/>
        <v>0.26903863143522605</v>
      </c>
      <c r="Z62" s="223">
        <f t="shared" si="6"/>
        <v>0.634519315717613</v>
      </c>
      <c r="AA62" s="224" t="str">
        <f t="shared" si="15"/>
        <v>CA-Yes</v>
      </c>
      <c r="AB62" s="225" t="str">
        <f t="shared" si="8"/>
        <v>CA-Dem</v>
      </c>
      <c r="AC62" s="422" t="str">
        <f>C62&amp;"-"&amp;IF(Y62&gt;Instructions!$H$14,Instructions!$I$14,IF(Y62&gt;Instructions!$H$15,Instructions!$I$15,IF(Y62&gt;Instructions!$H$16,Instructions!$I$16,IF(Y62&gt;Instructions!$H$17,Instructions!$I$17,Instructions!$I$18))))</f>
        <v>CA-Landslide</v>
      </c>
      <c r="AD62" s="226">
        <f t="shared" si="9"/>
        <v>0</v>
      </c>
      <c r="AE62" s="226">
        <f t="shared" si="10"/>
        <v>0</v>
      </c>
      <c r="AF62" s="227">
        <f t="shared" si="11"/>
        <v>0</v>
      </c>
      <c r="AG62" s="341">
        <f t="shared" si="12"/>
        <v>0</v>
      </c>
      <c r="AH62" s="380"/>
    </row>
    <row r="63" spans="1:34">
      <c r="A63" s="352" t="s">
        <v>68</v>
      </c>
      <c r="B63" s="427">
        <v>36</v>
      </c>
      <c r="C63" s="220" t="s">
        <v>4</v>
      </c>
      <c r="D63" s="379" t="s">
        <v>433</v>
      </c>
      <c r="E63"/>
      <c r="F63"/>
      <c r="G63" t="s">
        <v>344</v>
      </c>
      <c r="H63"/>
      <c r="I63"/>
      <c r="J63" t="str">
        <f t="shared" si="0"/>
        <v>CA-Yes</v>
      </c>
      <c r="K63" t="str">
        <f t="shared" si="1"/>
        <v>CA-Yes</v>
      </c>
      <c r="L63" s="417"/>
      <c r="M63" s="417"/>
      <c r="N63" s="255">
        <v>2012</v>
      </c>
      <c r="O63" s="416">
        <v>72682</v>
      </c>
      <c r="P63" s="416"/>
      <c r="Q63" s="416">
        <v>61457</v>
      </c>
      <c r="R63" s="416"/>
      <c r="S63" s="416">
        <v>0</v>
      </c>
      <c r="T63" s="353">
        <f t="shared" si="2"/>
        <v>134139</v>
      </c>
      <c r="U63" s="228"/>
      <c r="V63" s="221">
        <f t="shared" si="3"/>
        <v>72682</v>
      </c>
      <c r="W63" s="388">
        <f t="shared" si="14"/>
        <v>61457</v>
      </c>
      <c r="X63" s="222">
        <f t="shared" si="5"/>
        <v>8.3681852406831722E-2</v>
      </c>
      <c r="Y63" s="421">
        <f t="shared" si="13"/>
        <v>8.368185240683168E-2</v>
      </c>
      <c r="Z63" s="223">
        <f t="shared" si="6"/>
        <v>0.54184092620341584</v>
      </c>
      <c r="AA63" s="224" t="str">
        <f t="shared" si="15"/>
        <v>CA-No</v>
      </c>
      <c r="AB63" s="225" t="str">
        <f t="shared" si="8"/>
        <v>CA-Dem</v>
      </c>
      <c r="AC63" s="422" t="str">
        <f>C63&amp;"-"&amp;IF(Y63&gt;Instructions!$H$14,Instructions!$I$14,IF(Y63&gt;Instructions!$H$15,Instructions!$I$15,IF(Y63&gt;Instructions!$H$16,Instructions!$I$16,IF(Y63&gt;Instructions!$H$17,Instructions!$I$17,Instructions!$I$18))))</f>
        <v>CA-Competitive</v>
      </c>
      <c r="AD63" s="226">
        <f t="shared" si="9"/>
        <v>0</v>
      </c>
      <c r="AE63" s="226">
        <f t="shared" si="10"/>
        <v>61457</v>
      </c>
      <c r="AF63" s="227">
        <f t="shared" si="11"/>
        <v>0</v>
      </c>
      <c r="AG63" s="341">
        <f t="shared" si="12"/>
        <v>61457</v>
      </c>
      <c r="AH63" s="380"/>
    </row>
    <row r="64" spans="1:34">
      <c r="A64" s="352" t="s">
        <v>68</v>
      </c>
      <c r="B64" s="427">
        <v>37</v>
      </c>
      <c r="C64" s="220" t="s">
        <v>4</v>
      </c>
      <c r="D64" s="379" t="s">
        <v>434</v>
      </c>
      <c r="E64" t="s">
        <v>344</v>
      </c>
      <c r="F64" t="s">
        <v>344</v>
      </c>
      <c r="G64"/>
      <c r="H64"/>
      <c r="I64"/>
      <c r="J64" t="str">
        <f t="shared" si="0"/>
        <v>CA-Yes</v>
      </c>
      <c r="K64" t="str">
        <f t="shared" si="1"/>
        <v>CA-Yes</v>
      </c>
      <c r="L64" s="417"/>
      <c r="M64" s="417"/>
      <c r="N64" s="255">
        <v>2010</v>
      </c>
      <c r="O64" s="416">
        <v>96787</v>
      </c>
      <c r="P64" s="416"/>
      <c r="Q64" s="416">
        <v>18051</v>
      </c>
      <c r="R64" s="416"/>
      <c r="S64" s="416">
        <v>0</v>
      </c>
      <c r="T64" s="353">
        <f t="shared" si="2"/>
        <v>114838</v>
      </c>
      <c r="U64" s="228"/>
      <c r="V64" s="221">
        <f t="shared" si="3"/>
        <v>96787</v>
      </c>
      <c r="W64" s="388">
        <f t="shared" si="14"/>
        <v>18051</v>
      </c>
      <c r="X64" s="222">
        <f t="shared" si="5"/>
        <v>0.68562670892910016</v>
      </c>
      <c r="Y64" s="421">
        <f t="shared" si="13"/>
        <v>0.68562670892910016</v>
      </c>
      <c r="Z64" s="223">
        <f t="shared" si="6"/>
        <v>0.84281335446455008</v>
      </c>
      <c r="AA64" s="224" t="str">
        <f t="shared" si="15"/>
        <v>CA-No</v>
      </c>
      <c r="AB64" s="225" t="str">
        <f t="shared" si="8"/>
        <v>CA-Dem</v>
      </c>
      <c r="AC64" s="422" t="str">
        <f>C64&amp;"-"&amp;IF(Y64&gt;Instructions!$H$14,Instructions!$I$14,IF(Y64&gt;Instructions!$H$15,Instructions!$I$15,IF(Y64&gt;Instructions!$H$16,Instructions!$I$16,IF(Y64&gt;Instructions!$H$17,Instructions!$I$17,Instructions!$I$18))))</f>
        <v>CA-No contest</v>
      </c>
      <c r="AD64" s="226">
        <f t="shared" si="9"/>
        <v>0</v>
      </c>
      <c r="AE64" s="226">
        <f t="shared" si="10"/>
        <v>18051</v>
      </c>
      <c r="AF64" s="227">
        <f t="shared" si="11"/>
        <v>0</v>
      </c>
      <c r="AG64" s="341">
        <f t="shared" si="12"/>
        <v>18051</v>
      </c>
      <c r="AH64" s="380"/>
    </row>
    <row r="65" spans="1:34">
      <c r="A65" s="352" t="s">
        <v>68</v>
      </c>
      <c r="B65" s="427">
        <v>38</v>
      </c>
      <c r="C65" s="220" t="s">
        <v>4</v>
      </c>
      <c r="D65" s="379" t="s">
        <v>435</v>
      </c>
      <c r="E65" s="379" t="s">
        <v>344</v>
      </c>
      <c r="F65" s="379"/>
      <c r="G65" t="s">
        <v>344</v>
      </c>
      <c r="H65"/>
      <c r="I65"/>
      <c r="J65" t="str">
        <f t="shared" si="0"/>
        <v>CA-Yes</v>
      </c>
      <c r="K65" t="str">
        <f t="shared" si="1"/>
        <v>CA-Yes</v>
      </c>
      <c r="L65" s="417"/>
      <c r="M65" s="417"/>
      <c r="N65" s="255">
        <v>2002</v>
      </c>
      <c r="O65" s="416">
        <v>58192</v>
      </c>
      <c r="P65" s="416"/>
      <c r="Q65" s="416">
        <v>40288</v>
      </c>
      <c r="R65" s="416"/>
      <c r="S65" s="416">
        <v>0</v>
      </c>
      <c r="T65" s="353">
        <f t="shared" si="2"/>
        <v>98480</v>
      </c>
      <c r="U65" s="228"/>
      <c r="V65" s="221">
        <f t="shared" si="3"/>
        <v>58192</v>
      </c>
      <c r="W65" s="388">
        <f t="shared" si="14"/>
        <v>40288</v>
      </c>
      <c r="X65" s="222">
        <f t="shared" si="5"/>
        <v>0.18180341186027621</v>
      </c>
      <c r="Y65" s="421">
        <f t="shared" si="13"/>
        <v>0.18180341186027621</v>
      </c>
      <c r="Z65" s="223">
        <f t="shared" si="6"/>
        <v>0.59090170593013813</v>
      </c>
      <c r="AA65" s="224" t="str">
        <f t="shared" si="15"/>
        <v>CA-No</v>
      </c>
      <c r="AB65" s="225" t="str">
        <f t="shared" si="8"/>
        <v>CA-Dem</v>
      </c>
      <c r="AC65" s="422" t="str">
        <f>C65&amp;"-"&amp;IF(Y65&gt;Instructions!$H$14,Instructions!$I$14,IF(Y65&gt;Instructions!$H$15,Instructions!$I$15,IF(Y65&gt;Instructions!$H$16,Instructions!$I$16,IF(Y65&gt;Instructions!$H$17,Instructions!$I$17,Instructions!$I$18))))</f>
        <v>CA-Opportunity</v>
      </c>
      <c r="AD65" s="226">
        <f t="shared" si="9"/>
        <v>0</v>
      </c>
      <c r="AE65" s="226">
        <f t="shared" si="10"/>
        <v>40288</v>
      </c>
      <c r="AF65" s="227">
        <f t="shared" si="11"/>
        <v>0</v>
      </c>
      <c r="AG65" s="341">
        <f t="shared" si="12"/>
        <v>40288</v>
      </c>
      <c r="AH65" s="380"/>
    </row>
    <row r="66" spans="1:34">
      <c r="A66" s="352" t="s">
        <v>68</v>
      </c>
      <c r="B66" s="427">
        <v>39</v>
      </c>
      <c r="C66" s="220" t="s">
        <v>4</v>
      </c>
      <c r="D66" s="379" t="s">
        <v>436</v>
      </c>
      <c r="E66" s="379"/>
      <c r="F66" s="379"/>
      <c r="G66"/>
      <c r="H66"/>
      <c r="I66"/>
      <c r="J66" t="str">
        <f t="shared" si="0"/>
        <v>CA-Yes</v>
      </c>
      <c r="K66" t="str">
        <f t="shared" si="1"/>
        <v>CA-Yes</v>
      </c>
      <c r="L66" s="415"/>
      <c r="M66" s="415"/>
      <c r="N66" s="255">
        <v>1992</v>
      </c>
      <c r="O66" s="416">
        <v>41906</v>
      </c>
      <c r="P66" s="416"/>
      <c r="Q66" s="416">
        <v>91319</v>
      </c>
      <c r="R66" s="416"/>
      <c r="S66" s="416">
        <v>0</v>
      </c>
      <c r="T66" s="353">
        <f t="shared" si="2"/>
        <v>133225</v>
      </c>
      <c r="U66" s="228"/>
      <c r="V66" s="221">
        <f t="shared" si="3"/>
        <v>91319</v>
      </c>
      <c r="W66" s="388">
        <f t="shared" si="14"/>
        <v>41906</v>
      </c>
      <c r="X66" s="222">
        <f t="shared" si="5"/>
        <v>0.37089885531994748</v>
      </c>
      <c r="Y66" s="421">
        <f t="shared" si="13"/>
        <v>0.37089885531994748</v>
      </c>
      <c r="Z66" s="223">
        <f t="shared" si="6"/>
        <v>0.68544942765997374</v>
      </c>
      <c r="AA66" s="224" t="str">
        <f t="shared" si="15"/>
        <v>CA-No</v>
      </c>
      <c r="AB66" s="225" t="str">
        <f t="shared" si="8"/>
        <v>CA-Rep</v>
      </c>
      <c r="AC66" s="422" t="str">
        <f>C66&amp;"-"&amp;IF(Y66&gt;Instructions!$H$14,Instructions!$I$14,IF(Y66&gt;Instructions!$H$15,Instructions!$I$15,IF(Y66&gt;Instructions!$H$16,Instructions!$I$16,IF(Y66&gt;Instructions!$H$17,Instructions!$I$17,Instructions!$I$18))))</f>
        <v>CA-Landslide</v>
      </c>
      <c r="AD66" s="226">
        <f t="shared" si="9"/>
        <v>41906</v>
      </c>
      <c r="AE66" s="226">
        <f t="shared" si="10"/>
        <v>0</v>
      </c>
      <c r="AF66" s="227">
        <f t="shared" si="11"/>
        <v>0</v>
      </c>
      <c r="AG66" s="341">
        <f t="shared" si="12"/>
        <v>41906</v>
      </c>
      <c r="AH66" s="380"/>
    </row>
    <row r="67" spans="1:34">
      <c r="A67" s="352" t="s">
        <v>68</v>
      </c>
      <c r="B67" s="427">
        <v>40</v>
      </c>
      <c r="C67" s="220" t="s">
        <v>4</v>
      </c>
      <c r="D67" s="379" t="s">
        <v>752</v>
      </c>
      <c r="E67" s="379" t="s">
        <v>344</v>
      </c>
      <c r="F67"/>
      <c r="G67" t="s">
        <v>344</v>
      </c>
      <c r="H67"/>
      <c r="I67"/>
      <c r="J67" t="str">
        <f t="shared" si="0"/>
        <v>CA-Yes</v>
      </c>
      <c r="K67" t="str">
        <f t="shared" si="1"/>
        <v>CA-Yes</v>
      </c>
      <c r="L67" s="417"/>
      <c r="M67" s="417"/>
      <c r="N67" s="255">
        <v>1992</v>
      </c>
      <c r="O67" s="416">
        <v>30208</v>
      </c>
      <c r="P67" s="416">
        <v>19171</v>
      </c>
      <c r="Q67" s="416">
        <v>0</v>
      </c>
      <c r="R67" s="416"/>
      <c r="S67" s="416">
        <v>0</v>
      </c>
      <c r="T67" s="353">
        <f t="shared" si="2"/>
        <v>49379</v>
      </c>
      <c r="U67" s="228"/>
      <c r="V67" s="221">
        <f t="shared" si="3"/>
        <v>30208</v>
      </c>
      <c r="W67" s="388">
        <f t="shared" si="14"/>
        <v>19171</v>
      </c>
      <c r="X67" s="222">
        <f t="shared" si="5"/>
        <v>1</v>
      </c>
      <c r="Y67" s="421">
        <f t="shared" si="13"/>
        <v>0.2235160695842362</v>
      </c>
      <c r="Z67" s="223">
        <f t="shared" si="6"/>
        <v>0.6117580347921181</v>
      </c>
      <c r="AA67" s="224" t="str">
        <f t="shared" si="15"/>
        <v>CA-Yes</v>
      </c>
      <c r="AB67" s="225" t="str">
        <f t="shared" si="8"/>
        <v>CA-Dem</v>
      </c>
      <c r="AC67" s="422" t="str">
        <f>C67&amp;"-"&amp;IF(Y67&gt;Instructions!$H$14,Instructions!$I$14,IF(Y67&gt;Instructions!$H$15,Instructions!$I$15,IF(Y67&gt;Instructions!$H$16,Instructions!$I$16,IF(Y67&gt;Instructions!$H$17,Instructions!$I$17,Instructions!$I$18))))</f>
        <v>CA-Landslide</v>
      </c>
      <c r="AD67" s="226">
        <f t="shared" si="9"/>
        <v>0</v>
      </c>
      <c r="AE67" s="226">
        <f t="shared" si="10"/>
        <v>0</v>
      </c>
      <c r="AF67" s="227">
        <f t="shared" si="11"/>
        <v>0</v>
      </c>
      <c r="AG67" s="341">
        <f t="shared" si="12"/>
        <v>0</v>
      </c>
    </row>
    <row r="68" spans="1:34">
      <c r="A68" s="352" t="s">
        <v>68</v>
      </c>
      <c r="B68" s="427">
        <v>41</v>
      </c>
      <c r="C68" s="220" t="s">
        <v>4</v>
      </c>
      <c r="D68" s="379" t="s">
        <v>437</v>
      </c>
      <c r="E68" s="379"/>
      <c r="F68"/>
      <c r="G68"/>
      <c r="H68"/>
      <c r="I68"/>
      <c r="J68" t="str">
        <f t="shared" si="0"/>
        <v>CA-Yes</v>
      </c>
      <c r="K68" t="str">
        <f t="shared" si="1"/>
        <v>CA-Yes</v>
      </c>
      <c r="L68" s="354"/>
      <c r="M68" s="354"/>
      <c r="N68" s="255">
        <v>2012</v>
      </c>
      <c r="O68" s="416">
        <v>46948</v>
      </c>
      <c r="P68" s="416"/>
      <c r="Q68" s="416">
        <v>35936</v>
      </c>
      <c r="R68" s="416"/>
      <c r="S68" s="416">
        <v>0</v>
      </c>
      <c r="T68" s="353">
        <f t="shared" si="2"/>
        <v>82884</v>
      </c>
      <c r="U68" s="228"/>
      <c r="V68" s="221">
        <f t="shared" si="3"/>
        <v>46948</v>
      </c>
      <c r="W68" s="388">
        <f t="shared" si="14"/>
        <v>35936</v>
      </c>
      <c r="X68" s="222">
        <f t="shared" si="5"/>
        <v>0.13286038318613966</v>
      </c>
      <c r="Y68" s="421">
        <f t="shared" si="13"/>
        <v>0.13286038318613969</v>
      </c>
      <c r="Z68" s="223">
        <f t="shared" si="6"/>
        <v>0.56643019159306984</v>
      </c>
      <c r="AA68" s="224" t="str">
        <f t="shared" si="15"/>
        <v>CA-No</v>
      </c>
      <c r="AB68" s="225" t="str">
        <f t="shared" si="8"/>
        <v>CA-Dem</v>
      </c>
      <c r="AC68" s="422" t="str">
        <f>C68&amp;"-"&amp;IF(Y68&gt;Instructions!$H$14,Instructions!$I$14,IF(Y68&gt;Instructions!$H$15,Instructions!$I$15,IF(Y68&gt;Instructions!$H$16,Instructions!$I$16,IF(Y68&gt;Instructions!$H$17,Instructions!$I$17,Instructions!$I$18))))</f>
        <v>CA-Opportunity</v>
      </c>
      <c r="AD68" s="226">
        <f t="shared" si="9"/>
        <v>0</v>
      </c>
      <c r="AE68" s="226">
        <f t="shared" si="10"/>
        <v>35936</v>
      </c>
      <c r="AF68" s="227">
        <f t="shared" si="11"/>
        <v>0</v>
      </c>
      <c r="AG68" s="341">
        <f t="shared" si="12"/>
        <v>35936</v>
      </c>
      <c r="AH68" s="380"/>
    </row>
    <row r="69" spans="1:34">
      <c r="A69" s="352" t="s">
        <v>68</v>
      </c>
      <c r="B69" s="427">
        <v>42</v>
      </c>
      <c r="C69" s="220" t="s">
        <v>4</v>
      </c>
      <c r="D69" s="379" t="s">
        <v>438</v>
      </c>
      <c r="E69" s="379"/>
      <c r="F69"/>
      <c r="G69"/>
      <c r="H69"/>
      <c r="I69"/>
      <c r="J69" t="str">
        <f t="shared" si="0"/>
        <v>CA-Yes</v>
      </c>
      <c r="K69" t="str">
        <f t="shared" si="1"/>
        <v>CA-Yes</v>
      </c>
      <c r="L69" s="415"/>
      <c r="M69" s="415"/>
      <c r="N69" s="255">
        <v>1992</v>
      </c>
      <c r="O69" s="416">
        <v>38850</v>
      </c>
      <c r="P69" s="416"/>
      <c r="Q69" s="416">
        <v>74540</v>
      </c>
      <c r="R69" s="416"/>
      <c r="S69" s="416">
        <v>0</v>
      </c>
      <c r="T69" s="353">
        <f t="shared" si="2"/>
        <v>113390</v>
      </c>
      <c r="U69" s="228"/>
      <c r="V69" s="221">
        <f t="shared" si="3"/>
        <v>74540</v>
      </c>
      <c r="W69" s="388">
        <f t="shared" si="14"/>
        <v>38850</v>
      </c>
      <c r="X69" s="222">
        <f t="shared" si="5"/>
        <v>0.31475438751212631</v>
      </c>
      <c r="Y69" s="421">
        <f t="shared" si="13"/>
        <v>0.31475438751212631</v>
      </c>
      <c r="Z69" s="223">
        <f t="shared" si="6"/>
        <v>0.65737719375606318</v>
      </c>
      <c r="AA69" s="224" t="str">
        <f t="shared" si="15"/>
        <v>CA-No</v>
      </c>
      <c r="AB69" s="225" t="str">
        <f t="shared" si="8"/>
        <v>CA-Rep</v>
      </c>
      <c r="AC69" s="422" t="str">
        <f>C69&amp;"-"&amp;IF(Y69&gt;Instructions!$H$14,Instructions!$I$14,IF(Y69&gt;Instructions!$H$15,Instructions!$I$15,IF(Y69&gt;Instructions!$H$16,Instructions!$I$16,IF(Y69&gt;Instructions!$H$17,Instructions!$I$17,Instructions!$I$18))))</f>
        <v>CA-Landslide</v>
      </c>
      <c r="AD69" s="226">
        <f t="shared" si="9"/>
        <v>38850</v>
      </c>
      <c r="AE69" s="226">
        <f t="shared" si="10"/>
        <v>0</v>
      </c>
      <c r="AF69" s="227">
        <f t="shared" si="11"/>
        <v>0</v>
      </c>
      <c r="AG69" s="341">
        <f t="shared" si="12"/>
        <v>38850</v>
      </c>
    </row>
    <row r="70" spans="1:34">
      <c r="A70" s="352" t="s">
        <v>68</v>
      </c>
      <c r="B70" s="427">
        <v>43</v>
      </c>
      <c r="C70" s="220" t="s">
        <v>4</v>
      </c>
      <c r="D70" s="379" t="s">
        <v>439</v>
      </c>
      <c r="E70" s="379" t="s">
        <v>344</v>
      </c>
      <c r="F70" t="s">
        <v>344</v>
      </c>
      <c r="G70"/>
      <c r="H70"/>
      <c r="I70"/>
      <c r="J70" t="str">
        <f t="shared" si="0"/>
        <v>CA-Yes</v>
      </c>
      <c r="K70" t="str">
        <f t="shared" si="1"/>
        <v>CA-Yes</v>
      </c>
      <c r="L70" s="417"/>
      <c r="M70" s="417"/>
      <c r="N70" s="255">
        <v>1990</v>
      </c>
      <c r="O70" s="416">
        <v>69681</v>
      </c>
      <c r="P70" s="416"/>
      <c r="Q70" s="416">
        <v>28521</v>
      </c>
      <c r="R70" s="416"/>
      <c r="S70" s="416">
        <v>0</v>
      </c>
      <c r="T70" s="353">
        <f t="shared" si="2"/>
        <v>98202</v>
      </c>
      <c r="U70" s="396"/>
      <c r="V70" s="221">
        <f t="shared" si="3"/>
        <v>69681</v>
      </c>
      <c r="W70" s="388">
        <f t="shared" si="14"/>
        <v>28521</v>
      </c>
      <c r="X70" s="222">
        <f t="shared" si="5"/>
        <v>0.41913606647522456</v>
      </c>
      <c r="Y70" s="421">
        <f t="shared" si="13"/>
        <v>0.41913606647522456</v>
      </c>
      <c r="Z70" s="223">
        <f t="shared" si="6"/>
        <v>0.70956803323761231</v>
      </c>
      <c r="AA70" s="391" t="str">
        <f t="shared" si="15"/>
        <v>CA-No</v>
      </c>
      <c r="AB70" s="225" t="str">
        <f t="shared" si="8"/>
        <v>CA-Dem</v>
      </c>
      <c r="AC70" s="422" t="str">
        <f>C70&amp;"-"&amp;IF(Y70&gt;Instructions!$H$14,Instructions!$I$14,IF(Y70&gt;Instructions!$H$15,Instructions!$I$15,IF(Y70&gt;Instructions!$H$16,Instructions!$I$16,IF(Y70&gt;Instructions!$H$17,Instructions!$I$17,Instructions!$I$18))))</f>
        <v>CA-No contest</v>
      </c>
      <c r="AD70" s="226">
        <f t="shared" si="9"/>
        <v>0</v>
      </c>
      <c r="AE70" s="226">
        <f t="shared" si="10"/>
        <v>28521</v>
      </c>
      <c r="AF70" s="227">
        <f t="shared" si="11"/>
        <v>0</v>
      </c>
      <c r="AG70" s="341">
        <f t="shared" si="12"/>
        <v>28521</v>
      </c>
    </row>
    <row r="71" spans="1:34">
      <c r="A71" s="352" t="s">
        <v>68</v>
      </c>
      <c r="B71" s="427">
        <v>44</v>
      </c>
      <c r="C71" s="220" t="s">
        <v>4</v>
      </c>
      <c r="D71" s="379" t="s">
        <v>440</v>
      </c>
      <c r="E71" t="s">
        <v>344</v>
      </c>
      <c r="F71"/>
      <c r="G71"/>
      <c r="H71"/>
      <c r="I71"/>
      <c r="J71" t="str">
        <f t="shared" ref="J71:J134" si="16">C71&amp;"-"&amp;IF(L71=1, "Yes", IF(L71="", "Yes", IF(L71=0, "No")))</f>
        <v>CA-Yes</v>
      </c>
      <c r="K71" t="str">
        <f t="shared" ref="K71:K134" si="17">C71&amp;"-"&amp;IF(L71=1, "No", IF(M71=1, "No", IF(L71="", "Yes", IF(L71=0, "No"))))</f>
        <v>CA-Yes</v>
      </c>
      <c r="L71" s="417"/>
      <c r="M71" s="417"/>
      <c r="N71" s="255">
        <v>2011</v>
      </c>
      <c r="O71" s="416">
        <v>59670</v>
      </c>
      <c r="P71" s="416"/>
      <c r="Q71" s="416">
        <v>0</v>
      </c>
      <c r="R71" s="416"/>
      <c r="S71" s="416">
        <v>9192</v>
      </c>
      <c r="T71" s="353">
        <f t="shared" ref="T71:T134" si="18">O71+Q71+P71+R71+S71</f>
        <v>68862</v>
      </c>
      <c r="U71" s="396"/>
      <c r="V71" s="221">
        <f t="shared" ref="V71:V134" si="19">MAX(O71:S71)</f>
        <v>59670</v>
      </c>
      <c r="W71" s="388">
        <f t="shared" si="14"/>
        <v>9192</v>
      </c>
      <c r="X71" s="222">
        <f t="shared" ref="X71:X134" si="20">ABS(O71-Q71)/(O71+Q71)</f>
        <v>1</v>
      </c>
      <c r="Y71" s="421">
        <f t="shared" si="13"/>
        <v>0.73303127995120687</v>
      </c>
      <c r="Z71" s="223">
        <f t="shared" ref="Z71:Z134" si="21">V71/T71</f>
        <v>0.86651563997560344</v>
      </c>
      <c r="AA71" s="224" t="str">
        <f t="shared" ref="AA71:AA102" si="22">C71&amp;"-"&amp;IF(O71*Q71=0,"Yes","No")</f>
        <v>CA-Yes</v>
      </c>
      <c r="AB71" s="225" t="str">
        <f t="shared" ref="AB71:AB134" si="23">C71&amp;"-"&amp;IF(S71=MAX(O71:S71),"Other",IF(Q71&gt;O71,"Rep","Dem"))</f>
        <v>CA-Dem</v>
      </c>
      <c r="AC71" s="422" t="str">
        <f>C71&amp;"-"&amp;IF(Y71&gt;Instructions!$H$14,Instructions!$I$14,IF(Y71&gt;Instructions!$H$15,Instructions!$I$15,IF(Y71&gt;Instructions!$H$16,Instructions!$I$16,IF(Y71&gt;Instructions!$H$17,Instructions!$I$17,Instructions!$I$18))))</f>
        <v>CA-No contest</v>
      </c>
      <c r="AD71" s="226">
        <f t="shared" ref="AD71:AD134" si="24">IF(V71=O71,0,O71)</f>
        <v>0</v>
      </c>
      <c r="AE71" s="226">
        <f t="shared" ref="AE71:AE134" si="25">IF(V71=Q71,0,Q71)</f>
        <v>0</v>
      </c>
      <c r="AF71" s="227">
        <f t="shared" ref="AF71:AF134" si="26">IF(V71=S71,0,S71)</f>
        <v>9192</v>
      </c>
      <c r="AG71" s="341">
        <f t="shared" ref="AG71:AG134" si="27">SUM(AD71:AF71)</f>
        <v>9192</v>
      </c>
    </row>
    <row r="72" spans="1:34">
      <c r="A72" s="352" t="s">
        <v>68</v>
      </c>
      <c r="B72" s="427">
        <v>45</v>
      </c>
      <c r="C72" s="220" t="s">
        <v>4</v>
      </c>
      <c r="D72" s="379" t="s">
        <v>771</v>
      </c>
      <c r="E72" s="379" t="s">
        <v>344</v>
      </c>
      <c r="F72" s="379"/>
      <c r="G72"/>
      <c r="H72"/>
      <c r="I72"/>
      <c r="J72" t="str">
        <f t="shared" si="16"/>
        <v>CA-No</v>
      </c>
      <c r="K72" t="str">
        <f t="shared" si="17"/>
        <v>CA-No</v>
      </c>
      <c r="L72" s="415">
        <v>0</v>
      </c>
      <c r="M72" s="415"/>
      <c r="N72" s="255">
        <v>2014</v>
      </c>
      <c r="O72" s="416">
        <v>56819</v>
      </c>
      <c r="P72" s="416"/>
      <c r="Q72" s="416">
        <v>106083</v>
      </c>
      <c r="R72" s="416"/>
      <c r="S72" s="416">
        <v>0</v>
      </c>
      <c r="T72" s="353">
        <f t="shared" si="18"/>
        <v>162902</v>
      </c>
      <c r="U72" s="228"/>
      <c r="V72" s="221">
        <f t="shared" si="19"/>
        <v>106083</v>
      </c>
      <c r="W72" s="388">
        <f t="shared" si="14"/>
        <v>56819</v>
      </c>
      <c r="X72" s="222">
        <f t="shared" si="20"/>
        <v>0.30241494886496173</v>
      </c>
      <c r="Y72" s="421">
        <f t="shared" ref="Y72:Y135" si="28">(V72/T72)-(W72/T72)</f>
        <v>0.30241494886496173</v>
      </c>
      <c r="Z72" s="223">
        <f t="shared" si="21"/>
        <v>0.65120747443248084</v>
      </c>
      <c r="AA72" s="224" t="str">
        <f t="shared" si="22"/>
        <v>CA-No</v>
      </c>
      <c r="AB72" s="225" t="str">
        <f t="shared" si="23"/>
        <v>CA-Rep</v>
      </c>
      <c r="AC72" s="422" t="str">
        <f>C72&amp;"-"&amp;IF(Y72&gt;Instructions!$H$14,Instructions!$I$14,IF(Y72&gt;Instructions!$H$15,Instructions!$I$15,IF(Y72&gt;Instructions!$H$16,Instructions!$I$16,IF(Y72&gt;Instructions!$H$17,Instructions!$I$17,Instructions!$I$18))))</f>
        <v>CA-Landslide</v>
      </c>
      <c r="AD72" s="226">
        <f t="shared" si="24"/>
        <v>56819</v>
      </c>
      <c r="AE72" s="226">
        <f t="shared" si="25"/>
        <v>0</v>
      </c>
      <c r="AF72" s="227">
        <f t="shared" si="26"/>
        <v>0</v>
      </c>
      <c r="AG72" s="341">
        <f t="shared" si="27"/>
        <v>56819</v>
      </c>
    </row>
    <row r="73" spans="1:34">
      <c r="A73" s="352" t="s">
        <v>68</v>
      </c>
      <c r="B73" s="427">
        <v>46</v>
      </c>
      <c r="C73" s="220" t="s">
        <v>4</v>
      </c>
      <c r="D73" s="379" t="s">
        <v>441</v>
      </c>
      <c r="E73" t="s">
        <v>344</v>
      </c>
      <c r="F73" s="379"/>
      <c r="G73" t="s">
        <v>344</v>
      </c>
      <c r="H73"/>
      <c r="I73"/>
      <c r="J73" t="str">
        <f t="shared" si="16"/>
        <v>CA-Yes</v>
      </c>
      <c r="K73" t="str">
        <f t="shared" si="17"/>
        <v>CA-Yes</v>
      </c>
      <c r="L73" s="417"/>
      <c r="M73" s="417"/>
      <c r="N73" s="255">
        <v>1996</v>
      </c>
      <c r="O73" s="416">
        <v>49738</v>
      </c>
      <c r="P73" s="416"/>
      <c r="Q73" s="416">
        <v>33577</v>
      </c>
      <c r="R73" s="416"/>
      <c r="S73" s="416">
        <v>0</v>
      </c>
      <c r="T73" s="353">
        <f t="shared" si="18"/>
        <v>83315</v>
      </c>
      <c r="U73" s="228"/>
      <c r="V73" s="221">
        <f t="shared" si="19"/>
        <v>49738</v>
      </c>
      <c r="W73" s="388">
        <f t="shared" si="14"/>
        <v>33577</v>
      </c>
      <c r="X73" s="222">
        <f t="shared" si="20"/>
        <v>0.19397467442837424</v>
      </c>
      <c r="Y73" s="421">
        <f t="shared" si="28"/>
        <v>0.19397467442837429</v>
      </c>
      <c r="Z73" s="223">
        <f t="shared" si="21"/>
        <v>0.59698733721418717</v>
      </c>
      <c r="AA73" s="224" t="str">
        <f t="shared" si="22"/>
        <v>CA-No</v>
      </c>
      <c r="AB73" s="225" t="str">
        <f t="shared" si="23"/>
        <v>CA-Dem</v>
      </c>
      <c r="AC73" s="422" t="str">
        <f>C73&amp;"-"&amp;IF(Y73&gt;Instructions!$H$14,Instructions!$I$14,IF(Y73&gt;Instructions!$H$15,Instructions!$I$15,IF(Y73&gt;Instructions!$H$16,Instructions!$I$16,IF(Y73&gt;Instructions!$H$17,Instructions!$I$17,Instructions!$I$18))))</f>
        <v>CA-Opportunity</v>
      </c>
      <c r="AD73" s="226">
        <f t="shared" si="24"/>
        <v>0</v>
      </c>
      <c r="AE73" s="226">
        <f t="shared" si="25"/>
        <v>33577</v>
      </c>
      <c r="AF73" s="227">
        <f t="shared" si="26"/>
        <v>0</v>
      </c>
      <c r="AG73" s="341">
        <f t="shared" si="27"/>
        <v>33577</v>
      </c>
    </row>
    <row r="74" spans="1:34">
      <c r="A74" s="352" t="s">
        <v>68</v>
      </c>
      <c r="B74" s="427">
        <v>47</v>
      </c>
      <c r="C74" s="220" t="s">
        <v>4</v>
      </c>
      <c r="D74" s="379" t="s">
        <v>442</v>
      </c>
      <c r="E74"/>
      <c r="F74" s="379"/>
      <c r="G74"/>
      <c r="H74" s="379"/>
      <c r="I74"/>
      <c r="J74" t="str">
        <f t="shared" si="16"/>
        <v>CA-Yes</v>
      </c>
      <c r="K74" t="str">
        <f t="shared" si="17"/>
        <v>CA-Yes</v>
      </c>
      <c r="L74" s="354"/>
      <c r="M74" s="354"/>
      <c r="N74" s="255">
        <v>2012</v>
      </c>
      <c r="O74" s="416">
        <v>69091</v>
      </c>
      <c r="P74" s="416"/>
      <c r="Q74" s="416">
        <v>54309</v>
      </c>
      <c r="R74" s="416"/>
      <c r="S74" s="416">
        <v>0</v>
      </c>
      <c r="T74" s="353">
        <f t="shared" si="18"/>
        <v>123400</v>
      </c>
      <c r="U74" s="228"/>
      <c r="V74" s="221">
        <f t="shared" si="19"/>
        <v>69091</v>
      </c>
      <c r="W74" s="388">
        <f t="shared" si="14"/>
        <v>54309</v>
      </c>
      <c r="X74" s="222">
        <f t="shared" si="20"/>
        <v>0.11978930307941653</v>
      </c>
      <c r="Y74" s="421">
        <f t="shared" si="28"/>
        <v>0.11978930307941654</v>
      </c>
      <c r="Z74" s="223">
        <f t="shared" si="21"/>
        <v>0.5598946515397083</v>
      </c>
      <c r="AA74" s="224" t="str">
        <f t="shared" si="22"/>
        <v>CA-No</v>
      </c>
      <c r="AB74" s="225" t="str">
        <f t="shared" si="23"/>
        <v>CA-Dem</v>
      </c>
      <c r="AC74" s="422" t="str">
        <f>C74&amp;"-"&amp;IF(Y74&gt;Instructions!$H$14,Instructions!$I$14,IF(Y74&gt;Instructions!$H$15,Instructions!$I$15,IF(Y74&gt;Instructions!$H$16,Instructions!$I$16,IF(Y74&gt;Instructions!$H$17,Instructions!$I$17,Instructions!$I$18))))</f>
        <v>CA-Opportunity</v>
      </c>
      <c r="AD74" s="226">
        <f t="shared" si="24"/>
        <v>0</v>
      </c>
      <c r="AE74" s="226">
        <f t="shared" si="25"/>
        <v>54309</v>
      </c>
      <c r="AF74" s="227">
        <f t="shared" si="26"/>
        <v>0</v>
      </c>
      <c r="AG74" s="341">
        <f t="shared" si="27"/>
        <v>54309</v>
      </c>
    </row>
    <row r="75" spans="1:34">
      <c r="A75" s="352" t="s">
        <v>68</v>
      </c>
      <c r="B75" s="427">
        <v>48</v>
      </c>
      <c r="C75" s="220" t="s">
        <v>4</v>
      </c>
      <c r="D75" s="379" t="s">
        <v>443</v>
      </c>
      <c r="E75"/>
      <c r="F75"/>
      <c r="G75"/>
      <c r="H75"/>
      <c r="I75"/>
      <c r="J75" t="str">
        <f t="shared" si="16"/>
        <v>CA-Yes</v>
      </c>
      <c r="K75" t="str">
        <f t="shared" si="17"/>
        <v>CA-Yes</v>
      </c>
      <c r="L75" s="415"/>
      <c r="M75" s="415"/>
      <c r="N75" s="255">
        <v>1988</v>
      </c>
      <c r="O75" s="416">
        <v>62713</v>
      </c>
      <c r="P75" s="416"/>
      <c r="Q75" s="416">
        <v>112082</v>
      </c>
      <c r="R75" s="416"/>
      <c r="S75" s="416">
        <v>0</v>
      </c>
      <c r="T75" s="353">
        <f t="shared" si="18"/>
        <v>174795</v>
      </c>
      <c r="U75" s="228"/>
      <c r="V75" s="221">
        <f t="shared" si="19"/>
        <v>112082</v>
      </c>
      <c r="W75" s="388">
        <f t="shared" si="14"/>
        <v>62713</v>
      </c>
      <c r="X75" s="222">
        <f t="shared" si="20"/>
        <v>0.28243942904545327</v>
      </c>
      <c r="Y75" s="421">
        <f t="shared" si="28"/>
        <v>0.28243942904545327</v>
      </c>
      <c r="Z75" s="223">
        <f t="shared" si="21"/>
        <v>0.64121971452272664</v>
      </c>
      <c r="AA75" s="224" t="str">
        <f t="shared" si="22"/>
        <v>CA-No</v>
      </c>
      <c r="AB75" s="225" t="str">
        <f t="shared" si="23"/>
        <v>CA-Rep</v>
      </c>
      <c r="AC75" s="422" t="str">
        <f>C75&amp;"-"&amp;IF(Y75&gt;Instructions!$H$14,Instructions!$I$14,IF(Y75&gt;Instructions!$H$15,Instructions!$I$15,IF(Y75&gt;Instructions!$H$16,Instructions!$I$16,IF(Y75&gt;Instructions!$H$17,Instructions!$I$17,Instructions!$I$18))))</f>
        <v>CA-Landslide</v>
      </c>
      <c r="AD75" s="226">
        <f t="shared" si="24"/>
        <v>62713</v>
      </c>
      <c r="AE75" s="226">
        <f t="shared" si="25"/>
        <v>0</v>
      </c>
      <c r="AF75" s="227">
        <f t="shared" si="26"/>
        <v>0</v>
      </c>
      <c r="AG75" s="341">
        <f t="shared" si="27"/>
        <v>62713</v>
      </c>
      <c r="AH75" s="380"/>
    </row>
    <row r="76" spans="1:34">
      <c r="A76" s="352" t="s">
        <v>68</v>
      </c>
      <c r="B76" s="427">
        <v>49</v>
      </c>
      <c r="C76" s="220" t="s">
        <v>4</v>
      </c>
      <c r="D76" s="379" t="s">
        <v>444</v>
      </c>
      <c r="E76" s="379"/>
      <c r="F76"/>
      <c r="G76"/>
      <c r="H76"/>
      <c r="I76"/>
      <c r="J76" t="str">
        <f t="shared" si="16"/>
        <v>CA-Yes</v>
      </c>
      <c r="K76" t="str">
        <f t="shared" si="17"/>
        <v>CA-Yes</v>
      </c>
      <c r="L76" s="415"/>
      <c r="M76" s="415"/>
      <c r="N76" s="255">
        <v>2000</v>
      </c>
      <c r="O76" s="416">
        <v>64981</v>
      </c>
      <c r="P76" s="416"/>
      <c r="Q76" s="416">
        <v>98161</v>
      </c>
      <c r="R76" s="416"/>
      <c r="S76" s="416">
        <v>0</v>
      </c>
      <c r="T76" s="353">
        <f t="shared" si="18"/>
        <v>163142</v>
      </c>
      <c r="U76" s="228"/>
      <c r="V76" s="221">
        <f t="shared" si="19"/>
        <v>98161</v>
      </c>
      <c r="W76" s="388">
        <f t="shared" si="14"/>
        <v>64981</v>
      </c>
      <c r="X76" s="222">
        <f t="shared" si="20"/>
        <v>0.20338110357847763</v>
      </c>
      <c r="Y76" s="421">
        <f t="shared" si="28"/>
        <v>0.20338110357847761</v>
      </c>
      <c r="Z76" s="223">
        <f t="shared" si="21"/>
        <v>0.6016905517892388</v>
      </c>
      <c r="AA76" s="224" t="str">
        <f t="shared" si="22"/>
        <v>CA-No</v>
      </c>
      <c r="AB76" s="225" t="str">
        <f t="shared" si="23"/>
        <v>CA-Rep</v>
      </c>
      <c r="AC76" s="422" t="str">
        <f>C76&amp;"-"&amp;IF(Y76&gt;Instructions!$H$14,Instructions!$I$14,IF(Y76&gt;Instructions!$H$15,Instructions!$I$15,IF(Y76&gt;Instructions!$H$16,Instructions!$I$16,IF(Y76&gt;Instructions!$H$17,Instructions!$I$17,Instructions!$I$18))))</f>
        <v>CA-Landslide</v>
      </c>
      <c r="AD76" s="226">
        <f t="shared" si="24"/>
        <v>64981</v>
      </c>
      <c r="AE76" s="226">
        <f t="shared" si="25"/>
        <v>0</v>
      </c>
      <c r="AF76" s="227">
        <f t="shared" si="26"/>
        <v>0</v>
      </c>
      <c r="AG76" s="341">
        <f t="shared" si="27"/>
        <v>64981</v>
      </c>
      <c r="AH76" s="380"/>
    </row>
    <row r="77" spans="1:34">
      <c r="A77" s="352" t="s">
        <v>68</v>
      </c>
      <c r="B77" s="427">
        <v>50</v>
      </c>
      <c r="C77" s="220" t="s">
        <v>4</v>
      </c>
      <c r="D77" s="379" t="s">
        <v>445</v>
      </c>
      <c r="E77"/>
      <c r="F77"/>
      <c r="G77"/>
      <c r="H77"/>
      <c r="I77"/>
      <c r="J77" t="str">
        <f t="shared" si="16"/>
        <v>CA-Yes</v>
      </c>
      <c r="K77" t="str">
        <f t="shared" si="17"/>
        <v>CA-Yes</v>
      </c>
      <c r="L77" s="352"/>
      <c r="M77" s="352"/>
      <c r="N77" s="255">
        <v>2008</v>
      </c>
      <c r="O77" s="416">
        <v>45302</v>
      </c>
      <c r="P77" s="416"/>
      <c r="Q77" s="416">
        <v>111997</v>
      </c>
      <c r="R77" s="416"/>
      <c r="S77" s="416">
        <v>0</v>
      </c>
      <c r="T77" s="353">
        <f t="shared" si="18"/>
        <v>157299</v>
      </c>
      <c r="U77" s="228"/>
      <c r="V77" s="221">
        <f t="shared" si="19"/>
        <v>111997</v>
      </c>
      <c r="W77" s="388">
        <f t="shared" si="14"/>
        <v>45302</v>
      </c>
      <c r="X77" s="222">
        <f t="shared" si="20"/>
        <v>0.42400142403956798</v>
      </c>
      <c r="Y77" s="421">
        <f t="shared" si="28"/>
        <v>0.42400142403956798</v>
      </c>
      <c r="Z77" s="223">
        <f t="shared" si="21"/>
        <v>0.71200071201978399</v>
      </c>
      <c r="AA77" s="224" t="str">
        <f t="shared" si="22"/>
        <v>CA-No</v>
      </c>
      <c r="AB77" s="225" t="str">
        <f t="shared" si="23"/>
        <v>CA-Rep</v>
      </c>
      <c r="AC77" s="422" t="str">
        <f>C77&amp;"-"&amp;IF(Y77&gt;Instructions!$H$14,Instructions!$I$14,IF(Y77&gt;Instructions!$H$15,Instructions!$I$15,IF(Y77&gt;Instructions!$H$16,Instructions!$I$16,IF(Y77&gt;Instructions!$H$17,Instructions!$I$17,Instructions!$I$18))))</f>
        <v>CA-No contest</v>
      </c>
      <c r="AD77" s="226">
        <f t="shared" si="24"/>
        <v>45302</v>
      </c>
      <c r="AE77" s="226">
        <f t="shared" si="25"/>
        <v>0</v>
      </c>
      <c r="AF77" s="227">
        <f t="shared" si="26"/>
        <v>0</v>
      </c>
      <c r="AG77" s="341">
        <f t="shared" si="27"/>
        <v>45302</v>
      </c>
    </row>
    <row r="78" spans="1:34">
      <c r="A78" s="352" t="s">
        <v>68</v>
      </c>
      <c r="B78" s="427">
        <v>51</v>
      </c>
      <c r="C78" s="384" t="s">
        <v>4</v>
      </c>
      <c r="D78" s="379" t="s">
        <v>446</v>
      </c>
      <c r="E78"/>
      <c r="F78"/>
      <c r="G78" t="s">
        <v>344</v>
      </c>
      <c r="H78"/>
      <c r="I78"/>
      <c r="J78" t="str">
        <f t="shared" si="16"/>
        <v>CA-Yes</v>
      </c>
      <c r="K78" t="str">
        <f t="shared" si="17"/>
        <v>CA-Yes</v>
      </c>
      <c r="L78" s="417"/>
      <c r="M78" s="417"/>
      <c r="N78" s="255">
        <v>2012</v>
      </c>
      <c r="O78" s="416">
        <v>56373</v>
      </c>
      <c r="P78" s="416"/>
      <c r="Q78" s="416">
        <v>25577</v>
      </c>
      <c r="R78" s="416"/>
      <c r="S78" s="416">
        <v>0</v>
      </c>
      <c r="T78" s="353">
        <f t="shared" si="18"/>
        <v>81950</v>
      </c>
      <c r="U78" s="228"/>
      <c r="V78" s="221">
        <f t="shared" si="19"/>
        <v>56373</v>
      </c>
      <c r="W78" s="388">
        <f t="shared" si="14"/>
        <v>25577</v>
      </c>
      <c r="X78" s="222">
        <f t="shared" si="20"/>
        <v>0.37579011592434414</v>
      </c>
      <c r="Y78" s="421">
        <f t="shared" si="28"/>
        <v>0.37579011592434414</v>
      </c>
      <c r="Z78" s="223">
        <f t="shared" si="21"/>
        <v>0.6878950579621721</v>
      </c>
      <c r="AA78" s="224" t="str">
        <f t="shared" si="22"/>
        <v>CA-No</v>
      </c>
      <c r="AB78" s="225" t="str">
        <f t="shared" si="23"/>
        <v>CA-Dem</v>
      </c>
      <c r="AC78" s="422" t="str">
        <f>C78&amp;"-"&amp;IF(Y78&gt;Instructions!$H$14,Instructions!$I$14,IF(Y78&gt;Instructions!$H$15,Instructions!$I$15,IF(Y78&gt;Instructions!$H$16,Instructions!$I$16,IF(Y78&gt;Instructions!$H$17,Instructions!$I$17,Instructions!$I$18))))</f>
        <v>CA-Landslide</v>
      </c>
      <c r="AD78" s="226">
        <f t="shared" si="24"/>
        <v>0</v>
      </c>
      <c r="AE78" s="226">
        <f t="shared" si="25"/>
        <v>25577</v>
      </c>
      <c r="AF78" s="227">
        <f t="shared" si="26"/>
        <v>0</v>
      </c>
      <c r="AG78" s="341">
        <f t="shared" si="27"/>
        <v>25577</v>
      </c>
      <c r="AH78" s="380"/>
    </row>
    <row r="79" spans="1:34">
      <c r="A79" s="352" t="s">
        <v>68</v>
      </c>
      <c r="B79" s="427">
        <v>52</v>
      </c>
      <c r="C79" s="384" t="s">
        <v>4</v>
      </c>
      <c r="D79" s="379" t="s">
        <v>447</v>
      </c>
      <c r="E79"/>
      <c r="F79"/>
      <c r="G79"/>
      <c r="H79"/>
      <c r="I79"/>
      <c r="J79" t="str">
        <f t="shared" si="16"/>
        <v>CA-Yes</v>
      </c>
      <c r="K79" t="str">
        <f t="shared" si="17"/>
        <v>CA-Yes</v>
      </c>
      <c r="L79" s="417"/>
      <c r="M79" s="417"/>
      <c r="N79" s="255">
        <v>2012</v>
      </c>
      <c r="O79" s="416">
        <v>98826</v>
      </c>
      <c r="P79" s="416"/>
      <c r="Q79" s="416">
        <v>92746</v>
      </c>
      <c r="R79" s="416"/>
      <c r="S79" s="416">
        <v>0</v>
      </c>
      <c r="T79" s="353">
        <f t="shared" si="18"/>
        <v>191572</v>
      </c>
      <c r="U79" s="228"/>
      <c r="V79" s="221">
        <f t="shared" si="19"/>
        <v>98826</v>
      </c>
      <c r="W79" s="388">
        <f t="shared" si="14"/>
        <v>92746</v>
      </c>
      <c r="X79" s="222">
        <f t="shared" si="20"/>
        <v>3.1737414653498421E-2</v>
      </c>
      <c r="Y79" s="421">
        <f t="shared" si="28"/>
        <v>3.1737414653498386E-2</v>
      </c>
      <c r="Z79" s="223">
        <f t="shared" si="21"/>
        <v>0.51586870732674917</v>
      </c>
      <c r="AA79" s="224" t="str">
        <f t="shared" si="22"/>
        <v>CA-No</v>
      </c>
      <c r="AB79" s="225" t="str">
        <f t="shared" si="23"/>
        <v>CA-Dem</v>
      </c>
      <c r="AC79" s="422" t="str">
        <f>C79&amp;"-"&amp;IF(Y79&gt;Instructions!$H$14,Instructions!$I$14,IF(Y79&gt;Instructions!$H$15,Instructions!$I$15,IF(Y79&gt;Instructions!$H$16,Instructions!$I$16,IF(Y79&gt;Instructions!$H$17,Instructions!$I$17,Instructions!$I$18))))</f>
        <v>CA-Tight</v>
      </c>
      <c r="AD79" s="226">
        <f t="shared" si="24"/>
        <v>0</v>
      </c>
      <c r="AE79" s="226">
        <f t="shared" si="25"/>
        <v>92746</v>
      </c>
      <c r="AF79" s="227">
        <f t="shared" si="26"/>
        <v>0</v>
      </c>
      <c r="AG79" s="341">
        <f t="shared" si="27"/>
        <v>92746</v>
      </c>
      <c r="AH79" s="413">
        <f>SUM(AG27:AG79)</f>
        <v>2248860</v>
      </c>
    </row>
    <row r="80" spans="1:34">
      <c r="A80" s="352" t="s">
        <v>68</v>
      </c>
      <c r="B80" s="427">
        <v>53</v>
      </c>
      <c r="C80" s="220" t="s">
        <v>4</v>
      </c>
      <c r="D80" s="379" t="s">
        <v>448</v>
      </c>
      <c r="E80" t="s">
        <v>344</v>
      </c>
      <c r="F80"/>
      <c r="G80" s="379"/>
      <c r="H80"/>
      <c r="I80"/>
      <c r="J80" t="str">
        <f t="shared" si="16"/>
        <v>CA-Yes</v>
      </c>
      <c r="K80" t="str">
        <f t="shared" si="17"/>
        <v>CA-Yes</v>
      </c>
      <c r="L80" s="417"/>
      <c r="M80" s="417"/>
      <c r="N80" s="255">
        <v>2000</v>
      </c>
      <c r="O80" s="416">
        <v>87104</v>
      </c>
      <c r="P80" s="416"/>
      <c r="Q80" s="416">
        <v>60940</v>
      </c>
      <c r="R80" s="416"/>
      <c r="S80" s="416">
        <v>0</v>
      </c>
      <c r="T80" s="353">
        <f t="shared" si="18"/>
        <v>148044</v>
      </c>
      <c r="U80" s="228"/>
      <c r="V80" s="221">
        <f t="shared" si="19"/>
        <v>87104</v>
      </c>
      <c r="W80" s="388">
        <f t="shared" si="14"/>
        <v>60940</v>
      </c>
      <c r="X80" s="222">
        <f t="shared" si="20"/>
        <v>0.1767312420631704</v>
      </c>
      <c r="Y80" s="421">
        <f t="shared" si="28"/>
        <v>0.17673124206317037</v>
      </c>
      <c r="Z80" s="223">
        <f t="shared" si="21"/>
        <v>0.58836562103158518</v>
      </c>
      <c r="AA80" s="224" t="str">
        <f t="shared" si="22"/>
        <v>CA-No</v>
      </c>
      <c r="AB80" s="225" t="str">
        <f t="shared" si="23"/>
        <v>CA-Dem</v>
      </c>
      <c r="AC80" s="422" t="str">
        <f>C80&amp;"-"&amp;IF(Y80&gt;Instructions!$H$14,Instructions!$I$14,IF(Y80&gt;Instructions!$H$15,Instructions!$I$15,IF(Y80&gt;Instructions!$H$16,Instructions!$I$16,IF(Y80&gt;Instructions!$H$17,Instructions!$I$17,Instructions!$I$18))))</f>
        <v>CA-Opportunity</v>
      </c>
      <c r="AD80" s="226">
        <f t="shared" si="24"/>
        <v>0</v>
      </c>
      <c r="AE80" s="226">
        <f t="shared" si="25"/>
        <v>60940</v>
      </c>
      <c r="AF80" s="227">
        <f t="shared" si="26"/>
        <v>0</v>
      </c>
      <c r="AG80" s="341">
        <f t="shared" si="27"/>
        <v>60940</v>
      </c>
    </row>
    <row r="81" spans="1:34">
      <c r="A81" s="352" t="s">
        <v>69</v>
      </c>
      <c r="B81" s="427">
        <v>1</v>
      </c>
      <c r="C81" s="220" t="s">
        <v>5</v>
      </c>
      <c r="D81" s="379" t="s">
        <v>449</v>
      </c>
      <c r="E81" s="379" t="s">
        <v>345</v>
      </c>
      <c r="F81" s="379"/>
      <c r="G81"/>
      <c r="H81"/>
      <c r="I81"/>
      <c r="J81" t="str">
        <f t="shared" si="16"/>
        <v>CO-Yes</v>
      </c>
      <c r="K81" t="str">
        <f t="shared" si="17"/>
        <v>CO-Yes</v>
      </c>
      <c r="L81" s="417"/>
      <c r="M81" s="417"/>
      <c r="N81" s="255">
        <v>1996</v>
      </c>
      <c r="O81" s="416">
        <v>183281</v>
      </c>
      <c r="P81" s="416"/>
      <c r="Q81" s="416">
        <v>80682</v>
      </c>
      <c r="R81" s="416"/>
      <c r="S81" s="416">
        <v>14528</v>
      </c>
      <c r="T81" s="353">
        <f t="shared" si="18"/>
        <v>278491</v>
      </c>
      <c r="U81" s="228"/>
      <c r="V81" s="221">
        <f t="shared" si="19"/>
        <v>183281</v>
      </c>
      <c r="W81" s="388">
        <f t="shared" si="14"/>
        <v>80682</v>
      </c>
      <c r="X81" s="222">
        <f t="shared" si="20"/>
        <v>0.38868705083667027</v>
      </c>
      <c r="Y81" s="421">
        <f t="shared" si="28"/>
        <v>0.36841046927907906</v>
      </c>
      <c r="Z81" s="223">
        <f t="shared" si="21"/>
        <v>0.65812180644975959</v>
      </c>
      <c r="AA81" s="224" t="str">
        <f t="shared" si="22"/>
        <v>CO-No</v>
      </c>
      <c r="AB81" s="225" t="str">
        <f t="shared" si="23"/>
        <v>CO-Dem</v>
      </c>
      <c r="AC81" s="422" t="str">
        <f>C81&amp;"-"&amp;IF(Y81&gt;Instructions!$H$14,Instructions!$I$14,IF(Y81&gt;Instructions!$H$15,Instructions!$I$15,IF(Y81&gt;Instructions!$H$16,Instructions!$I$16,IF(Y81&gt;Instructions!$H$17,Instructions!$I$17,Instructions!$I$18))))</f>
        <v>CO-Landslide</v>
      </c>
      <c r="AD81" s="226">
        <f t="shared" si="24"/>
        <v>0</v>
      </c>
      <c r="AE81" s="226">
        <f t="shared" si="25"/>
        <v>80682</v>
      </c>
      <c r="AF81" s="227">
        <f t="shared" si="26"/>
        <v>14528</v>
      </c>
      <c r="AG81" s="341">
        <f t="shared" si="27"/>
        <v>95210</v>
      </c>
    </row>
    <row r="82" spans="1:34">
      <c r="A82" s="352" t="s">
        <v>69</v>
      </c>
      <c r="B82" s="427">
        <v>2</v>
      </c>
      <c r="C82" s="220" t="s">
        <v>5</v>
      </c>
      <c r="D82" s="379" t="s">
        <v>450</v>
      </c>
      <c r="E82" s="379"/>
      <c r="F82"/>
      <c r="G82" s="379"/>
      <c r="H82"/>
      <c r="I82"/>
      <c r="J82" t="str">
        <f t="shared" si="16"/>
        <v>CO-Yes</v>
      </c>
      <c r="K82" t="str">
        <f t="shared" si="17"/>
        <v>CO-Yes</v>
      </c>
      <c r="L82" s="417"/>
      <c r="M82" s="417"/>
      <c r="N82" s="255">
        <v>2008</v>
      </c>
      <c r="O82" s="416">
        <v>196300</v>
      </c>
      <c r="P82" s="416"/>
      <c r="Q82" s="416">
        <v>149645</v>
      </c>
      <c r="R82" s="416"/>
      <c r="S82" s="416">
        <v>0</v>
      </c>
      <c r="T82" s="353">
        <f t="shared" si="18"/>
        <v>345945</v>
      </c>
      <c r="U82" s="228"/>
      <c r="V82" s="221">
        <f t="shared" si="19"/>
        <v>196300</v>
      </c>
      <c r="W82" s="388">
        <f t="shared" si="14"/>
        <v>149645</v>
      </c>
      <c r="X82" s="222">
        <f t="shared" si="20"/>
        <v>0.13486247813958865</v>
      </c>
      <c r="Y82" s="421">
        <f t="shared" si="28"/>
        <v>0.13486247813958863</v>
      </c>
      <c r="Z82" s="223">
        <f t="shared" si="21"/>
        <v>0.56743123906979431</v>
      </c>
      <c r="AA82" s="224" t="str">
        <f t="shared" si="22"/>
        <v>CO-No</v>
      </c>
      <c r="AB82" s="225" t="str">
        <f t="shared" si="23"/>
        <v>CO-Dem</v>
      </c>
      <c r="AC82" s="422" t="str">
        <f>C82&amp;"-"&amp;IF(Y82&gt;Instructions!$H$14,Instructions!$I$14,IF(Y82&gt;Instructions!$H$15,Instructions!$I$15,IF(Y82&gt;Instructions!$H$16,Instructions!$I$16,IF(Y82&gt;Instructions!$H$17,Instructions!$I$17,Instructions!$I$18))))</f>
        <v>CO-Opportunity</v>
      </c>
      <c r="AD82" s="226">
        <f t="shared" si="24"/>
        <v>0</v>
      </c>
      <c r="AE82" s="226">
        <f t="shared" si="25"/>
        <v>149645</v>
      </c>
      <c r="AF82" s="227">
        <f t="shared" si="26"/>
        <v>0</v>
      </c>
      <c r="AG82" s="341">
        <f t="shared" si="27"/>
        <v>149645</v>
      </c>
      <c r="AH82" s="380"/>
    </row>
    <row r="83" spans="1:34">
      <c r="A83" s="352" t="s">
        <v>69</v>
      </c>
      <c r="B83" s="427">
        <v>3</v>
      </c>
      <c r="C83" s="220" t="s">
        <v>5</v>
      </c>
      <c r="D83" s="379" t="s">
        <v>451</v>
      </c>
      <c r="E83" s="379"/>
      <c r="F83"/>
      <c r="G83" s="379"/>
      <c r="H83"/>
      <c r="I83"/>
      <c r="J83" t="str">
        <f t="shared" si="16"/>
        <v>CO-Yes</v>
      </c>
      <c r="K83" t="str">
        <f t="shared" si="17"/>
        <v>CO-Yes</v>
      </c>
      <c r="L83" s="352"/>
      <c r="M83" s="352"/>
      <c r="N83" s="255">
        <v>2010</v>
      </c>
      <c r="O83" s="416">
        <v>100364</v>
      </c>
      <c r="P83" s="416"/>
      <c r="Q83" s="416">
        <v>163011</v>
      </c>
      <c r="R83" s="416"/>
      <c r="S83" s="416">
        <v>17766</v>
      </c>
      <c r="T83" s="353">
        <f t="shared" si="18"/>
        <v>281141</v>
      </c>
      <c r="U83" s="228"/>
      <c r="V83" s="221">
        <f t="shared" si="19"/>
        <v>163011</v>
      </c>
      <c r="W83" s="388">
        <f t="shared" si="14"/>
        <v>100364</v>
      </c>
      <c r="X83" s="222">
        <f t="shared" si="20"/>
        <v>0.2378623635500712</v>
      </c>
      <c r="Y83" s="421">
        <f t="shared" si="28"/>
        <v>0.22283124837714885</v>
      </c>
      <c r="Z83" s="223">
        <f t="shared" si="21"/>
        <v>0.57981937888817359</v>
      </c>
      <c r="AA83" s="224" t="str">
        <f t="shared" si="22"/>
        <v>CO-No</v>
      </c>
      <c r="AB83" s="225" t="str">
        <f t="shared" si="23"/>
        <v>CO-Rep</v>
      </c>
      <c r="AC83" s="422" t="str">
        <f>C83&amp;"-"&amp;IF(Y83&gt;Instructions!$H$14,Instructions!$I$14,IF(Y83&gt;Instructions!$H$15,Instructions!$I$15,IF(Y83&gt;Instructions!$H$16,Instructions!$I$16,IF(Y83&gt;Instructions!$H$17,Instructions!$I$17,Instructions!$I$18))))</f>
        <v>CO-Landslide</v>
      </c>
      <c r="AD83" s="226">
        <f t="shared" si="24"/>
        <v>100364</v>
      </c>
      <c r="AE83" s="226">
        <f t="shared" si="25"/>
        <v>0</v>
      </c>
      <c r="AF83" s="227">
        <f t="shared" si="26"/>
        <v>17766</v>
      </c>
      <c r="AG83" s="341">
        <f t="shared" si="27"/>
        <v>118130</v>
      </c>
      <c r="AH83" s="380"/>
    </row>
    <row r="84" spans="1:34">
      <c r="A84" s="352" t="s">
        <v>69</v>
      </c>
      <c r="B84" s="427">
        <v>4</v>
      </c>
      <c r="C84" s="220" t="s">
        <v>5</v>
      </c>
      <c r="D84" s="379" t="s">
        <v>772</v>
      </c>
      <c r="E84" s="379"/>
      <c r="F84"/>
      <c r="G84"/>
      <c r="H84"/>
      <c r="I84"/>
      <c r="J84" t="str">
        <f t="shared" si="16"/>
        <v>CO-No</v>
      </c>
      <c r="K84" t="str">
        <f t="shared" si="17"/>
        <v>CO-No</v>
      </c>
      <c r="L84" s="415">
        <v>0</v>
      </c>
      <c r="M84" s="415"/>
      <c r="N84" s="255">
        <v>2014</v>
      </c>
      <c r="O84" s="416">
        <v>83727</v>
      </c>
      <c r="P84" s="416"/>
      <c r="Q84" s="416">
        <v>185292</v>
      </c>
      <c r="R84" s="416"/>
      <c r="S84" s="416">
        <v>17488</v>
      </c>
      <c r="T84" s="353">
        <f t="shared" si="18"/>
        <v>286507</v>
      </c>
      <c r="U84" s="228"/>
      <c r="V84" s="221">
        <f t="shared" si="19"/>
        <v>185292</v>
      </c>
      <c r="W84" s="388">
        <f t="shared" si="14"/>
        <v>83727</v>
      </c>
      <c r="X84" s="222">
        <f t="shared" si="20"/>
        <v>0.37753838948178381</v>
      </c>
      <c r="Y84" s="421">
        <f t="shared" si="28"/>
        <v>0.35449395651764182</v>
      </c>
      <c r="Z84" s="223">
        <f t="shared" si="21"/>
        <v>0.64672765412363398</v>
      </c>
      <c r="AA84" s="224" t="str">
        <f t="shared" si="22"/>
        <v>CO-No</v>
      </c>
      <c r="AB84" s="225" t="str">
        <f t="shared" si="23"/>
        <v>CO-Rep</v>
      </c>
      <c r="AC84" s="422" t="str">
        <f>C84&amp;"-"&amp;IF(Y84&gt;Instructions!$H$14,Instructions!$I$14,IF(Y84&gt;Instructions!$H$15,Instructions!$I$15,IF(Y84&gt;Instructions!$H$16,Instructions!$I$16,IF(Y84&gt;Instructions!$H$17,Instructions!$I$17,Instructions!$I$18))))</f>
        <v>CO-Landslide</v>
      </c>
      <c r="AD84" s="226">
        <f t="shared" si="24"/>
        <v>83727</v>
      </c>
      <c r="AE84" s="226">
        <f t="shared" si="25"/>
        <v>0</v>
      </c>
      <c r="AF84" s="227">
        <f t="shared" si="26"/>
        <v>17488</v>
      </c>
      <c r="AG84" s="341">
        <f t="shared" si="27"/>
        <v>101215</v>
      </c>
    </row>
    <row r="85" spans="1:34">
      <c r="A85" s="352" t="s">
        <v>69</v>
      </c>
      <c r="B85" s="427">
        <v>5</v>
      </c>
      <c r="C85" s="220" t="s">
        <v>5</v>
      </c>
      <c r="D85" s="379" t="s">
        <v>452</v>
      </c>
      <c r="E85" s="379"/>
      <c r="F85"/>
      <c r="G85"/>
      <c r="H85"/>
      <c r="I85"/>
      <c r="J85" t="str">
        <f t="shared" si="16"/>
        <v>CO-Yes</v>
      </c>
      <c r="K85" t="str">
        <f t="shared" si="17"/>
        <v>CO-Yes</v>
      </c>
      <c r="L85" s="415"/>
      <c r="M85" s="415"/>
      <c r="N85" s="255">
        <v>2006</v>
      </c>
      <c r="O85" s="416">
        <v>105673</v>
      </c>
      <c r="P85" s="416"/>
      <c r="Q85" s="416">
        <v>157182</v>
      </c>
      <c r="R85" s="416"/>
      <c r="S85" s="416">
        <v>0</v>
      </c>
      <c r="T85" s="353">
        <f t="shared" si="18"/>
        <v>262855</v>
      </c>
      <c r="U85" s="228"/>
      <c r="V85" s="221">
        <f t="shared" si="19"/>
        <v>157182</v>
      </c>
      <c r="W85" s="388">
        <f t="shared" si="14"/>
        <v>105673</v>
      </c>
      <c r="X85" s="222">
        <f t="shared" si="20"/>
        <v>0.19595974967187232</v>
      </c>
      <c r="Y85" s="421">
        <f t="shared" si="28"/>
        <v>0.19595974967187235</v>
      </c>
      <c r="Z85" s="223">
        <f t="shared" si="21"/>
        <v>0.59797987483593618</v>
      </c>
      <c r="AA85" s="224" t="str">
        <f t="shared" si="22"/>
        <v>CO-No</v>
      </c>
      <c r="AB85" s="225" t="str">
        <f t="shared" si="23"/>
        <v>CO-Rep</v>
      </c>
      <c r="AC85" s="422" t="str">
        <f>C85&amp;"-"&amp;IF(Y85&gt;Instructions!$H$14,Instructions!$I$14,IF(Y85&gt;Instructions!$H$15,Instructions!$I$15,IF(Y85&gt;Instructions!$H$16,Instructions!$I$16,IF(Y85&gt;Instructions!$H$17,Instructions!$I$17,Instructions!$I$18))))</f>
        <v>CO-Opportunity</v>
      </c>
      <c r="AD85" s="226">
        <f t="shared" si="24"/>
        <v>105673</v>
      </c>
      <c r="AE85" s="226">
        <f t="shared" si="25"/>
        <v>0</v>
      </c>
      <c r="AF85" s="227">
        <f t="shared" si="26"/>
        <v>0</v>
      </c>
      <c r="AG85" s="341">
        <f t="shared" si="27"/>
        <v>105673</v>
      </c>
    </row>
    <row r="86" spans="1:34">
      <c r="A86" s="352" t="s">
        <v>69</v>
      </c>
      <c r="B86" s="427">
        <v>6</v>
      </c>
      <c r="C86" s="220" t="s">
        <v>5</v>
      </c>
      <c r="D86" s="379" t="s">
        <v>453</v>
      </c>
      <c r="E86" s="379"/>
      <c r="F86"/>
      <c r="G86"/>
      <c r="H86"/>
      <c r="I86"/>
      <c r="J86" t="str">
        <f t="shared" si="16"/>
        <v>CO-Yes</v>
      </c>
      <c r="K86" t="str">
        <f t="shared" si="17"/>
        <v>CO-Yes</v>
      </c>
      <c r="L86" s="415"/>
      <c r="M86" s="415"/>
      <c r="N86" s="255">
        <v>2008</v>
      </c>
      <c r="O86" s="416">
        <v>118847</v>
      </c>
      <c r="P86" s="416"/>
      <c r="Q86" s="416">
        <v>143467</v>
      </c>
      <c r="R86" s="416"/>
      <c r="S86" s="416">
        <v>14126</v>
      </c>
      <c r="T86" s="353">
        <f t="shared" si="18"/>
        <v>276440</v>
      </c>
      <c r="U86" s="228"/>
      <c r="V86" s="221">
        <f t="shared" si="19"/>
        <v>143467</v>
      </c>
      <c r="W86" s="388">
        <f t="shared" si="14"/>
        <v>118847</v>
      </c>
      <c r="X86" s="222">
        <f t="shared" si="20"/>
        <v>9.3856980565276735E-2</v>
      </c>
      <c r="Y86" s="421">
        <f t="shared" si="28"/>
        <v>8.9060917378092908E-2</v>
      </c>
      <c r="Z86" s="223">
        <f t="shared" si="21"/>
        <v>0.51898061062074952</v>
      </c>
      <c r="AA86" s="224" t="str">
        <f t="shared" si="22"/>
        <v>CO-No</v>
      </c>
      <c r="AB86" s="225" t="str">
        <f t="shared" si="23"/>
        <v>CO-Rep</v>
      </c>
      <c r="AC86" s="422" t="str">
        <f>C86&amp;"-"&amp;IF(Y86&gt;Instructions!$H$14,Instructions!$I$14,IF(Y86&gt;Instructions!$H$15,Instructions!$I$15,IF(Y86&gt;Instructions!$H$16,Instructions!$I$16,IF(Y86&gt;Instructions!$H$17,Instructions!$I$17,Instructions!$I$18))))</f>
        <v>CO-Competitive</v>
      </c>
      <c r="AD86" s="226">
        <f t="shared" si="24"/>
        <v>118847</v>
      </c>
      <c r="AE86" s="226">
        <f t="shared" si="25"/>
        <v>0</v>
      </c>
      <c r="AF86" s="227">
        <f t="shared" si="26"/>
        <v>14126</v>
      </c>
      <c r="AG86" s="341">
        <f t="shared" si="27"/>
        <v>132973</v>
      </c>
      <c r="AH86" s="413">
        <f>SUM(AG80:AG86)</f>
        <v>763786</v>
      </c>
    </row>
    <row r="87" spans="1:34">
      <c r="A87" s="352" t="s">
        <v>69</v>
      </c>
      <c r="B87" s="427">
        <v>7</v>
      </c>
      <c r="C87" s="220" t="s">
        <v>5</v>
      </c>
      <c r="D87" s="379" t="s">
        <v>454</v>
      </c>
      <c r="E87" s="379"/>
      <c r="F87"/>
      <c r="G87"/>
      <c r="H87"/>
      <c r="I87"/>
      <c r="J87" t="str">
        <f t="shared" si="16"/>
        <v>CO-Yes</v>
      </c>
      <c r="K87" t="str">
        <f t="shared" si="17"/>
        <v>CO-Yes</v>
      </c>
      <c r="L87" s="417"/>
      <c r="M87" s="417"/>
      <c r="N87" s="255">
        <v>2006</v>
      </c>
      <c r="O87" s="416">
        <v>148225</v>
      </c>
      <c r="P87" s="416"/>
      <c r="Q87" s="416">
        <v>120918</v>
      </c>
      <c r="R87" s="416"/>
      <c r="S87" s="416">
        <v>0</v>
      </c>
      <c r="T87" s="353">
        <f t="shared" si="18"/>
        <v>269143</v>
      </c>
      <c r="U87" s="228"/>
      <c r="V87" s="221">
        <f t="shared" si="19"/>
        <v>148225</v>
      </c>
      <c r="W87" s="388">
        <f t="shared" si="14"/>
        <v>120918</v>
      </c>
      <c r="X87" s="222">
        <f t="shared" si="20"/>
        <v>0.10145907565866473</v>
      </c>
      <c r="Y87" s="421">
        <f t="shared" si="28"/>
        <v>0.10145907565866469</v>
      </c>
      <c r="Z87" s="223">
        <f t="shared" si="21"/>
        <v>0.55072953782933232</v>
      </c>
      <c r="AA87" s="224" t="str">
        <f t="shared" si="22"/>
        <v>CO-No</v>
      </c>
      <c r="AB87" s="225" t="str">
        <f t="shared" si="23"/>
        <v>CO-Dem</v>
      </c>
      <c r="AC87" s="422" t="str">
        <f>C87&amp;"-"&amp;IF(Y87&gt;Instructions!$H$14,Instructions!$I$14,IF(Y87&gt;Instructions!$H$15,Instructions!$I$15,IF(Y87&gt;Instructions!$H$16,Instructions!$I$16,IF(Y87&gt;Instructions!$H$17,Instructions!$I$17,Instructions!$I$18))))</f>
        <v>CO-Opportunity</v>
      </c>
      <c r="AD87" s="226">
        <f t="shared" si="24"/>
        <v>0</v>
      </c>
      <c r="AE87" s="226">
        <f t="shared" si="25"/>
        <v>120918</v>
      </c>
      <c r="AF87" s="227">
        <f t="shared" si="26"/>
        <v>0</v>
      </c>
      <c r="AG87" s="341">
        <f t="shared" si="27"/>
        <v>120918</v>
      </c>
    </row>
    <row r="88" spans="1:34">
      <c r="A88" s="352" t="s">
        <v>70</v>
      </c>
      <c r="B88" s="427">
        <v>1</v>
      </c>
      <c r="C88" s="220" t="s">
        <v>6</v>
      </c>
      <c r="D88" s="379" t="s">
        <v>455</v>
      </c>
      <c r="E88"/>
      <c r="F88"/>
      <c r="G88"/>
      <c r="H88"/>
      <c r="I88"/>
      <c r="J88" t="str">
        <f t="shared" si="16"/>
        <v>CT-Yes</v>
      </c>
      <c r="K88" t="str">
        <f t="shared" si="17"/>
        <v>CT-Yes</v>
      </c>
      <c r="L88" s="417"/>
      <c r="M88" s="417"/>
      <c r="N88" s="255">
        <v>1998</v>
      </c>
      <c r="O88" s="416">
        <v>135686</v>
      </c>
      <c r="P88" s="416"/>
      <c r="Q88" s="416">
        <v>78520</v>
      </c>
      <c r="R88" s="416"/>
      <c r="S88" s="416">
        <v>3490</v>
      </c>
      <c r="T88" s="353">
        <f t="shared" si="18"/>
        <v>217696</v>
      </c>
      <c r="U88" s="228"/>
      <c r="V88" s="221">
        <f t="shared" si="19"/>
        <v>135686</v>
      </c>
      <c r="W88" s="388">
        <f t="shared" si="14"/>
        <v>78520</v>
      </c>
      <c r="X88" s="222">
        <f t="shared" si="20"/>
        <v>0.26687394377375051</v>
      </c>
      <c r="Y88" s="421">
        <f t="shared" si="28"/>
        <v>0.2625955460826106</v>
      </c>
      <c r="Z88" s="223">
        <f t="shared" si="21"/>
        <v>0.62328200793767452</v>
      </c>
      <c r="AA88" s="224" t="str">
        <f t="shared" si="22"/>
        <v>CT-No</v>
      </c>
      <c r="AB88" s="225" t="str">
        <f t="shared" si="23"/>
        <v>CT-Dem</v>
      </c>
      <c r="AC88" s="422" t="str">
        <f>C88&amp;"-"&amp;IF(Y88&gt;Instructions!$H$14,Instructions!$I$14,IF(Y88&gt;Instructions!$H$15,Instructions!$I$15,IF(Y88&gt;Instructions!$H$16,Instructions!$I$16,IF(Y88&gt;Instructions!$H$17,Instructions!$I$17,Instructions!$I$18))))</f>
        <v>CT-Landslide</v>
      </c>
      <c r="AD88" s="226">
        <f t="shared" si="24"/>
        <v>0</v>
      </c>
      <c r="AE88" s="226">
        <f t="shared" si="25"/>
        <v>78520</v>
      </c>
      <c r="AF88" s="227">
        <f t="shared" si="26"/>
        <v>3490</v>
      </c>
      <c r="AG88" s="341">
        <f t="shared" si="27"/>
        <v>82010</v>
      </c>
    </row>
    <row r="89" spans="1:34">
      <c r="A89" s="352" t="s">
        <v>70</v>
      </c>
      <c r="B89" s="427">
        <v>2</v>
      </c>
      <c r="C89" s="220" t="s">
        <v>6</v>
      </c>
      <c r="D89" s="379" t="s">
        <v>456</v>
      </c>
      <c r="E89" s="381"/>
      <c r="F89"/>
      <c r="G89"/>
      <c r="H89"/>
      <c r="I89"/>
      <c r="J89" t="str">
        <f t="shared" si="16"/>
        <v>CT-Yes</v>
      </c>
      <c r="K89" t="str">
        <f t="shared" si="17"/>
        <v>CT-Yes</v>
      </c>
      <c r="L89" s="417"/>
      <c r="M89" s="417"/>
      <c r="N89" s="255">
        <v>2006</v>
      </c>
      <c r="O89" s="416">
        <v>141851</v>
      </c>
      <c r="P89" s="416"/>
      <c r="Q89" s="416">
        <v>80842</v>
      </c>
      <c r="R89" s="416"/>
      <c r="S89" s="416">
        <v>5057</v>
      </c>
      <c r="T89" s="353">
        <f t="shared" si="18"/>
        <v>227750</v>
      </c>
      <c r="U89" s="228"/>
      <c r="V89" s="221">
        <f t="shared" si="19"/>
        <v>141851</v>
      </c>
      <c r="W89" s="388">
        <f t="shared" si="14"/>
        <v>80842</v>
      </c>
      <c r="X89" s="222">
        <f t="shared" si="20"/>
        <v>0.27396011549532318</v>
      </c>
      <c r="Y89" s="421">
        <f t="shared" si="28"/>
        <v>0.26787705817782659</v>
      </c>
      <c r="Z89" s="223">
        <f t="shared" si="21"/>
        <v>0.62283644346871569</v>
      </c>
      <c r="AA89" s="224" t="str">
        <f t="shared" si="22"/>
        <v>CT-No</v>
      </c>
      <c r="AB89" s="225" t="str">
        <f t="shared" si="23"/>
        <v>CT-Dem</v>
      </c>
      <c r="AC89" s="422" t="str">
        <f>C89&amp;"-"&amp;IF(Y89&gt;Instructions!$H$14,Instructions!$I$14,IF(Y89&gt;Instructions!$H$15,Instructions!$I$15,IF(Y89&gt;Instructions!$H$16,Instructions!$I$16,IF(Y89&gt;Instructions!$H$17,Instructions!$I$17,Instructions!$I$18))))</f>
        <v>CT-Landslide</v>
      </c>
      <c r="AD89" s="226">
        <f t="shared" si="24"/>
        <v>0</v>
      </c>
      <c r="AE89" s="226">
        <f t="shared" si="25"/>
        <v>80842</v>
      </c>
      <c r="AF89" s="227">
        <f t="shared" si="26"/>
        <v>5057</v>
      </c>
      <c r="AG89" s="341">
        <f t="shared" si="27"/>
        <v>85899</v>
      </c>
      <c r="AH89" s="380"/>
    </row>
    <row r="90" spans="1:34">
      <c r="A90" s="352" t="s">
        <v>70</v>
      </c>
      <c r="B90" s="427">
        <v>3</v>
      </c>
      <c r="C90" s="220" t="s">
        <v>6</v>
      </c>
      <c r="D90" s="379" t="s">
        <v>457</v>
      </c>
      <c r="E90" t="s">
        <v>346</v>
      </c>
      <c r="F90" s="379"/>
      <c r="G90"/>
      <c r="H90"/>
      <c r="I90"/>
      <c r="J90" t="str">
        <f t="shared" si="16"/>
        <v>CT-Yes</v>
      </c>
      <c r="K90" t="str">
        <f t="shared" si="17"/>
        <v>CT-Yes</v>
      </c>
      <c r="L90" s="417"/>
      <c r="M90" s="417"/>
      <c r="N90" s="255">
        <v>1990</v>
      </c>
      <c r="O90" s="416">
        <v>141197</v>
      </c>
      <c r="P90" s="416"/>
      <c r="Q90" s="416">
        <v>69223</v>
      </c>
      <c r="R90" s="416"/>
      <c r="S90" s="416">
        <v>0</v>
      </c>
      <c r="T90" s="353">
        <f t="shared" si="18"/>
        <v>210420</v>
      </c>
      <c r="U90" s="228"/>
      <c r="V90" s="221">
        <f t="shared" si="19"/>
        <v>141197</v>
      </c>
      <c r="W90" s="388">
        <f t="shared" si="14"/>
        <v>69223</v>
      </c>
      <c r="X90" s="222">
        <f t="shared" si="20"/>
        <v>0.34204923486360611</v>
      </c>
      <c r="Y90" s="421">
        <f t="shared" si="28"/>
        <v>0.34204923486360617</v>
      </c>
      <c r="Z90" s="223">
        <f t="shared" si="21"/>
        <v>0.67102461743180308</v>
      </c>
      <c r="AA90" s="224" t="str">
        <f t="shared" si="22"/>
        <v>CT-No</v>
      </c>
      <c r="AB90" s="225" t="str">
        <f t="shared" si="23"/>
        <v>CT-Dem</v>
      </c>
      <c r="AC90" s="422" t="str">
        <f>C90&amp;"-"&amp;IF(Y90&gt;Instructions!$H$14,Instructions!$I$14,IF(Y90&gt;Instructions!$H$15,Instructions!$I$15,IF(Y90&gt;Instructions!$H$16,Instructions!$I$16,IF(Y90&gt;Instructions!$H$17,Instructions!$I$17,Instructions!$I$18))))</f>
        <v>CT-Landslide</v>
      </c>
      <c r="AD90" s="226">
        <f t="shared" si="24"/>
        <v>0</v>
      </c>
      <c r="AE90" s="226">
        <f t="shared" si="25"/>
        <v>69223</v>
      </c>
      <c r="AF90" s="227">
        <f t="shared" si="26"/>
        <v>0</v>
      </c>
      <c r="AG90" s="341">
        <f t="shared" si="27"/>
        <v>69223</v>
      </c>
    </row>
    <row r="91" spans="1:34">
      <c r="A91" s="352" t="s">
        <v>70</v>
      </c>
      <c r="B91" s="427">
        <v>4</v>
      </c>
      <c r="C91" s="220" t="s">
        <v>6</v>
      </c>
      <c r="D91" s="379" t="s">
        <v>458</v>
      </c>
      <c r="E91"/>
      <c r="F91"/>
      <c r="G91"/>
      <c r="H91"/>
      <c r="I91"/>
      <c r="J91" t="str">
        <f t="shared" si="16"/>
        <v>CT-Yes</v>
      </c>
      <c r="K91" t="str">
        <f t="shared" si="17"/>
        <v>CT-Yes</v>
      </c>
      <c r="L91" s="417"/>
      <c r="M91" s="417"/>
      <c r="N91" s="255">
        <v>2008</v>
      </c>
      <c r="O91" s="416">
        <v>106791</v>
      </c>
      <c r="P91" s="416"/>
      <c r="Q91" s="416">
        <v>91928</v>
      </c>
      <c r="R91" s="416"/>
      <c r="S91" s="416">
        <v>0</v>
      </c>
      <c r="T91" s="353">
        <f t="shared" si="18"/>
        <v>198719</v>
      </c>
      <c r="U91" s="228"/>
      <c r="V91" s="221">
        <f t="shared" si="19"/>
        <v>106791</v>
      </c>
      <c r="W91" s="388">
        <f t="shared" si="14"/>
        <v>91928</v>
      </c>
      <c r="X91" s="222">
        <f t="shared" si="20"/>
        <v>7.4794055928220249E-2</v>
      </c>
      <c r="Y91" s="421">
        <f t="shared" si="28"/>
        <v>7.4794055928220304E-2</v>
      </c>
      <c r="Z91" s="223">
        <f t="shared" si="21"/>
        <v>0.53739702796411015</v>
      </c>
      <c r="AA91" s="224" t="str">
        <f t="shared" si="22"/>
        <v>CT-No</v>
      </c>
      <c r="AB91" s="225" t="str">
        <f t="shared" si="23"/>
        <v>CT-Dem</v>
      </c>
      <c r="AC91" s="422" t="str">
        <f>C91&amp;"-"&amp;IF(Y91&gt;Instructions!$H$14,Instructions!$I$14,IF(Y91&gt;Instructions!$H$15,Instructions!$I$15,IF(Y91&gt;Instructions!$H$16,Instructions!$I$16,IF(Y91&gt;Instructions!$H$17,Instructions!$I$17,Instructions!$I$18))))</f>
        <v>CT-Competitive</v>
      </c>
      <c r="AD91" s="226">
        <f t="shared" si="24"/>
        <v>0</v>
      </c>
      <c r="AE91" s="226">
        <f t="shared" si="25"/>
        <v>91928</v>
      </c>
      <c r="AF91" s="227">
        <f t="shared" si="26"/>
        <v>0</v>
      </c>
      <c r="AG91" s="341">
        <f t="shared" si="27"/>
        <v>91928</v>
      </c>
      <c r="AH91" s="413">
        <f>SUM(AG87:AG91)</f>
        <v>449978</v>
      </c>
    </row>
    <row r="92" spans="1:34">
      <c r="A92" s="352" t="s">
        <v>70</v>
      </c>
      <c r="B92" s="427">
        <v>5</v>
      </c>
      <c r="C92" s="220" t="s">
        <v>6</v>
      </c>
      <c r="D92" s="379" t="s">
        <v>459</v>
      </c>
      <c r="E92" s="379" t="s">
        <v>346</v>
      </c>
      <c r="F92"/>
      <c r="G92" s="379"/>
      <c r="H92"/>
      <c r="I92"/>
      <c r="J92" t="str">
        <f t="shared" si="16"/>
        <v>CT-Yes</v>
      </c>
      <c r="K92" t="str">
        <f t="shared" si="17"/>
        <v>CT-Yes</v>
      </c>
      <c r="L92" s="417"/>
      <c r="M92" s="417"/>
      <c r="N92" s="255">
        <v>2012</v>
      </c>
      <c r="O92" s="416">
        <v>112550</v>
      </c>
      <c r="P92" s="416"/>
      <c r="Q92" s="416">
        <v>96625</v>
      </c>
      <c r="R92" s="416"/>
      <c r="S92" s="416">
        <v>1948</v>
      </c>
      <c r="T92" s="353">
        <f t="shared" si="18"/>
        <v>211123</v>
      </c>
      <c r="U92" s="228"/>
      <c r="V92" s="221">
        <f t="shared" si="19"/>
        <v>112550</v>
      </c>
      <c r="W92" s="388">
        <f t="shared" si="14"/>
        <v>96625</v>
      </c>
      <c r="X92" s="222">
        <f t="shared" si="20"/>
        <v>7.6132425002987933E-2</v>
      </c>
      <c r="Y92" s="421">
        <f t="shared" si="28"/>
        <v>7.5429962628420444E-2</v>
      </c>
      <c r="Z92" s="223">
        <f t="shared" si="21"/>
        <v>0.53310155691232131</v>
      </c>
      <c r="AA92" s="224" t="str">
        <f t="shared" si="22"/>
        <v>CT-No</v>
      </c>
      <c r="AB92" s="225" t="str">
        <f t="shared" si="23"/>
        <v>CT-Dem</v>
      </c>
      <c r="AC92" s="422" t="str">
        <f>C92&amp;"-"&amp;IF(Y92&gt;Instructions!$H$14,Instructions!$I$14,IF(Y92&gt;Instructions!$H$15,Instructions!$I$15,IF(Y92&gt;Instructions!$H$16,Instructions!$I$16,IF(Y92&gt;Instructions!$H$17,Instructions!$I$17,Instructions!$I$18))))</f>
        <v>CT-Competitive</v>
      </c>
      <c r="AD92" s="226">
        <f t="shared" si="24"/>
        <v>0</v>
      </c>
      <c r="AE92" s="226">
        <f t="shared" si="25"/>
        <v>96625</v>
      </c>
      <c r="AF92" s="227">
        <f t="shared" si="26"/>
        <v>1948</v>
      </c>
      <c r="AG92" s="341">
        <f t="shared" si="27"/>
        <v>98573</v>
      </c>
      <c r="AH92" s="413">
        <f>SUM(AG92)</f>
        <v>98573</v>
      </c>
    </row>
    <row r="93" spans="1:34">
      <c r="A93" s="352" t="s">
        <v>71</v>
      </c>
      <c r="B93" s="426" t="s">
        <v>0</v>
      </c>
      <c r="C93" s="220" t="s">
        <v>7</v>
      </c>
      <c r="D93" s="379" t="s">
        <v>460</v>
      </c>
      <c r="E93"/>
      <c r="F93"/>
      <c r="G93" s="379"/>
      <c r="H93"/>
      <c r="I93"/>
      <c r="J93" t="str">
        <f t="shared" si="16"/>
        <v>DE-Yes</v>
      </c>
      <c r="K93" t="str">
        <f t="shared" si="17"/>
        <v>DE-Yes</v>
      </c>
      <c r="L93" s="417"/>
      <c r="M93" s="417"/>
      <c r="N93" s="255">
        <v>2010</v>
      </c>
      <c r="O93" s="416">
        <v>137251</v>
      </c>
      <c r="P93" s="416"/>
      <c r="Q93" s="416">
        <v>85146</v>
      </c>
      <c r="R93" s="416"/>
      <c r="S93" s="416">
        <v>9220</v>
      </c>
      <c r="T93" s="353">
        <f t="shared" si="18"/>
        <v>231617</v>
      </c>
      <c r="U93" s="228"/>
      <c r="V93" s="221">
        <f t="shared" si="19"/>
        <v>137251</v>
      </c>
      <c r="W93" s="388">
        <f t="shared" ref="W93:W156" si="29">LARGE(O93:S93, 2)</f>
        <v>85146</v>
      </c>
      <c r="X93" s="222">
        <f t="shared" si="20"/>
        <v>0.23428823230529189</v>
      </c>
      <c r="Y93" s="421">
        <f t="shared" si="28"/>
        <v>0.22496189830625557</v>
      </c>
      <c r="Z93" s="223">
        <f t="shared" si="21"/>
        <v>0.59257740148607396</v>
      </c>
      <c r="AA93" s="224" t="str">
        <f t="shared" si="22"/>
        <v>DE-No</v>
      </c>
      <c r="AB93" s="225" t="str">
        <f t="shared" si="23"/>
        <v>DE-Dem</v>
      </c>
      <c r="AC93" s="422" t="str">
        <f>C93&amp;"-"&amp;IF(Y93&gt;Instructions!$H$14,Instructions!$I$14,IF(Y93&gt;Instructions!$H$15,Instructions!$I$15,IF(Y93&gt;Instructions!$H$16,Instructions!$I$16,IF(Y93&gt;Instructions!$H$17,Instructions!$I$17,Instructions!$I$18))))</f>
        <v>DE-Landslide</v>
      </c>
      <c r="AD93" s="226">
        <f t="shared" si="24"/>
        <v>0</v>
      </c>
      <c r="AE93" s="226">
        <f t="shared" si="25"/>
        <v>85146</v>
      </c>
      <c r="AF93" s="227">
        <f t="shared" si="26"/>
        <v>9220</v>
      </c>
      <c r="AG93" s="341">
        <f t="shared" si="27"/>
        <v>94366</v>
      </c>
      <c r="AH93" s="380"/>
    </row>
    <row r="94" spans="1:34">
      <c r="A94" s="352" t="s">
        <v>72</v>
      </c>
      <c r="B94" s="427">
        <v>1</v>
      </c>
      <c r="C94" s="220" t="s">
        <v>8</v>
      </c>
      <c r="D94" s="379" t="s">
        <v>461</v>
      </c>
      <c r="E94"/>
      <c r="F94"/>
      <c r="G94"/>
      <c r="H94"/>
      <c r="I94"/>
      <c r="J94" t="str">
        <f t="shared" si="16"/>
        <v>FL-Yes</v>
      </c>
      <c r="K94" t="str">
        <f t="shared" si="17"/>
        <v>FL-Yes</v>
      </c>
      <c r="L94" s="352"/>
      <c r="M94" s="352"/>
      <c r="N94" s="255">
        <v>2001</v>
      </c>
      <c r="O94" s="416">
        <v>54976</v>
      </c>
      <c r="P94" s="416"/>
      <c r="Q94" s="416">
        <v>165086</v>
      </c>
      <c r="R94" s="416"/>
      <c r="S94" s="416">
        <v>15281</v>
      </c>
      <c r="T94" s="353">
        <f t="shared" si="18"/>
        <v>235343</v>
      </c>
      <c r="U94" s="228"/>
      <c r="V94" s="221">
        <f t="shared" si="19"/>
        <v>165086</v>
      </c>
      <c r="W94" s="388">
        <f t="shared" si="29"/>
        <v>54976</v>
      </c>
      <c r="X94" s="222">
        <f t="shared" si="20"/>
        <v>0.5003589897392553</v>
      </c>
      <c r="Y94" s="421">
        <f t="shared" si="28"/>
        <v>0.46787029994518642</v>
      </c>
      <c r="Z94" s="223">
        <f t="shared" si="21"/>
        <v>0.70146976965535413</v>
      </c>
      <c r="AA94" s="224" t="str">
        <f t="shared" si="22"/>
        <v>FL-No</v>
      </c>
      <c r="AB94" s="225" t="str">
        <f t="shared" si="23"/>
        <v>FL-Rep</v>
      </c>
      <c r="AC94" s="422" t="str">
        <f>C94&amp;"-"&amp;IF(Y94&gt;Instructions!$H$14,Instructions!$I$14,IF(Y94&gt;Instructions!$H$15,Instructions!$I$15,IF(Y94&gt;Instructions!$H$16,Instructions!$I$16,IF(Y94&gt;Instructions!$H$17,Instructions!$I$17,Instructions!$I$18))))</f>
        <v>FL-No contest</v>
      </c>
      <c r="AD94" s="226">
        <f t="shared" si="24"/>
        <v>54976</v>
      </c>
      <c r="AE94" s="226">
        <f t="shared" si="25"/>
        <v>0</v>
      </c>
      <c r="AF94" s="227">
        <f t="shared" si="26"/>
        <v>15281</v>
      </c>
      <c r="AG94" s="341">
        <f t="shared" si="27"/>
        <v>70257</v>
      </c>
      <c r="AH94" s="380"/>
    </row>
    <row r="95" spans="1:34">
      <c r="A95" s="352" t="s">
        <v>72</v>
      </c>
      <c r="B95" s="427">
        <v>2</v>
      </c>
      <c r="C95" s="220" t="s">
        <v>8</v>
      </c>
      <c r="D95" s="379" t="s">
        <v>773</v>
      </c>
      <c r="E95" s="381" t="s">
        <v>347</v>
      </c>
      <c r="F95" s="381"/>
      <c r="G95"/>
      <c r="H95"/>
      <c r="I95"/>
      <c r="J95" t="str">
        <f t="shared" si="16"/>
        <v>FL-Yes</v>
      </c>
      <c r="K95" t="str">
        <f t="shared" si="17"/>
        <v>FL-No</v>
      </c>
      <c r="L95" s="415">
        <v>1</v>
      </c>
      <c r="M95" s="415">
        <v>1</v>
      </c>
      <c r="N95" s="255">
        <v>2014</v>
      </c>
      <c r="O95" s="416">
        <v>126096</v>
      </c>
      <c r="P95" s="416"/>
      <c r="Q95" s="416">
        <v>123262</v>
      </c>
      <c r="R95" s="416"/>
      <c r="S95" s="416">
        <v>422</v>
      </c>
      <c r="T95" s="353">
        <f t="shared" si="18"/>
        <v>249780</v>
      </c>
      <c r="U95" s="228"/>
      <c r="V95" s="221">
        <f t="shared" si="19"/>
        <v>126096</v>
      </c>
      <c r="W95" s="388">
        <f t="shared" si="29"/>
        <v>123262</v>
      </c>
      <c r="X95" s="222">
        <f t="shared" si="20"/>
        <v>1.1365185797127022E-2</v>
      </c>
      <c r="Y95" s="421">
        <f t="shared" si="28"/>
        <v>1.1345984466330339E-2</v>
      </c>
      <c r="Z95" s="223">
        <f t="shared" si="21"/>
        <v>0.50482824885899591</v>
      </c>
      <c r="AA95" s="224" t="str">
        <f t="shared" si="22"/>
        <v>FL-No</v>
      </c>
      <c r="AB95" s="225" t="str">
        <f t="shared" si="23"/>
        <v>FL-Dem</v>
      </c>
      <c r="AC95" s="422" t="str">
        <f>C95&amp;"-"&amp;IF(Y95&gt;Instructions!$H$14,Instructions!$I$14,IF(Y95&gt;Instructions!$H$15,Instructions!$I$15,IF(Y95&gt;Instructions!$H$16,Instructions!$I$16,IF(Y95&gt;Instructions!$H$17,Instructions!$I$17,Instructions!$I$18))))</f>
        <v>FL-Tight</v>
      </c>
      <c r="AD95" s="226">
        <f t="shared" si="24"/>
        <v>0</v>
      </c>
      <c r="AE95" s="226">
        <f t="shared" si="25"/>
        <v>123262</v>
      </c>
      <c r="AF95" s="227">
        <f t="shared" si="26"/>
        <v>422</v>
      </c>
      <c r="AG95" s="341">
        <f t="shared" si="27"/>
        <v>123684</v>
      </c>
      <c r="AH95" s="380"/>
    </row>
    <row r="96" spans="1:34">
      <c r="A96" s="352" t="s">
        <v>72</v>
      </c>
      <c r="B96" s="427">
        <v>3</v>
      </c>
      <c r="C96" s="220" t="s">
        <v>8</v>
      </c>
      <c r="D96" s="379" t="s">
        <v>462</v>
      </c>
      <c r="E96"/>
      <c r="F96" s="379"/>
      <c r="G96"/>
      <c r="H96"/>
      <c r="I96"/>
      <c r="J96" t="str">
        <f t="shared" si="16"/>
        <v>FL-Yes</v>
      </c>
      <c r="K96" t="str">
        <f t="shared" si="17"/>
        <v>FL-Yes</v>
      </c>
      <c r="L96" s="415"/>
      <c r="M96" s="415"/>
      <c r="N96" s="255">
        <v>2012</v>
      </c>
      <c r="O96" s="416">
        <v>73910</v>
      </c>
      <c r="P96" s="416"/>
      <c r="Q96" s="416">
        <v>148691</v>
      </c>
      <c r="R96" s="416"/>
      <c r="S96" s="416">
        <v>6208</v>
      </c>
      <c r="T96" s="353">
        <f t="shared" si="18"/>
        <v>228809</v>
      </c>
      <c r="U96" s="228"/>
      <c r="V96" s="221">
        <f t="shared" si="19"/>
        <v>148691</v>
      </c>
      <c r="W96" s="388">
        <f t="shared" si="29"/>
        <v>73910</v>
      </c>
      <c r="X96" s="222">
        <f t="shared" si="20"/>
        <v>0.3359418870535173</v>
      </c>
      <c r="Y96" s="421">
        <f t="shared" si="28"/>
        <v>0.32682717900082603</v>
      </c>
      <c r="Z96" s="223">
        <f t="shared" si="21"/>
        <v>0.64984768955766603</v>
      </c>
      <c r="AA96" s="224" t="str">
        <f t="shared" si="22"/>
        <v>FL-No</v>
      </c>
      <c r="AB96" s="225" t="str">
        <f t="shared" si="23"/>
        <v>FL-Rep</v>
      </c>
      <c r="AC96" s="422" t="str">
        <f>C96&amp;"-"&amp;IF(Y96&gt;Instructions!$H$14,Instructions!$I$14,IF(Y96&gt;Instructions!$H$15,Instructions!$I$15,IF(Y96&gt;Instructions!$H$16,Instructions!$I$16,IF(Y96&gt;Instructions!$H$17,Instructions!$I$17,Instructions!$I$18))))</f>
        <v>FL-Landslide</v>
      </c>
      <c r="AD96" s="226">
        <f t="shared" si="24"/>
        <v>73910</v>
      </c>
      <c r="AE96" s="226">
        <f t="shared" si="25"/>
        <v>0</v>
      </c>
      <c r="AF96" s="227">
        <f t="shared" si="26"/>
        <v>6208</v>
      </c>
      <c r="AG96" s="341">
        <f t="shared" si="27"/>
        <v>80118</v>
      </c>
      <c r="AH96" s="380"/>
    </row>
    <row r="97" spans="1:34">
      <c r="A97" s="352" t="s">
        <v>72</v>
      </c>
      <c r="B97" s="427">
        <v>4</v>
      </c>
      <c r="C97" s="220" t="s">
        <v>8</v>
      </c>
      <c r="D97" s="379" t="s">
        <v>463</v>
      </c>
      <c r="E97"/>
      <c r="F97"/>
      <c r="G97"/>
      <c r="H97"/>
      <c r="I97" s="379"/>
      <c r="J97" t="str">
        <f t="shared" si="16"/>
        <v>FL-Yes</v>
      </c>
      <c r="K97" t="str">
        <f t="shared" si="17"/>
        <v>FL-Yes</v>
      </c>
      <c r="L97" s="352"/>
      <c r="M97" s="352"/>
      <c r="N97" s="255">
        <v>2000</v>
      </c>
      <c r="O97" s="416">
        <v>0</v>
      </c>
      <c r="P97" s="416"/>
      <c r="Q97" s="416">
        <v>177887</v>
      </c>
      <c r="R97" s="416"/>
      <c r="S97" s="416">
        <v>49366</v>
      </c>
      <c r="T97" s="353">
        <f t="shared" si="18"/>
        <v>227253</v>
      </c>
      <c r="U97" s="228"/>
      <c r="V97" s="221">
        <f t="shared" si="19"/>
        <v>177887</v>
      </c>
      <c r="W97" s="388">
        <v>35663</v>
      </c>
      <c r="X97" s="222">
        <f t="shared" si="20"/>
        <v>1</v>
      </c>
      <c r="Y97" s="421">
        <f t="shared" si="28"/>
        <v>0.62583992290530821</v>
      </c>
      <c r="Z97" s="223">
        <f t="shared" si="21"/>
        <v>0.78277074450062267</v>
      </c>
      <c r="AA97" s="224" t="str">
        <f t="shared" si="22"/>
        <v>FL-Yes</v>
      </c>
      <c r="AB97" s="225" t="str">
        <f t="shared" si="23"/>
        <v>FL-Rep</v>
      </c>
      <c r="AC97" s="422" t="str">
        <f>C97&amp;"-"&amp;IF(Y97&gt;Instructions!$H$14,Instructions!$I$14,IF(Y97&gt;Instructions!$H$15,Instructions!$I$15,IF(Y97&gt;Instructions!$H$16,Instructions!$I$16,IF(Y97&gt;Instructions!$H$17,Instructions!$I$17,Instructions!$I$18))))</f>
        <v>FL-No contest</v>
      </c>
      <c r="AD97" s="226">
        <f t="shared" si="24"/>
        <v>0</v>
      </c>
      <c r="AE97" s="226">
        <f t="shared" si="25"/>
        <v>0</v>
      </c>
      <c r="AF97" s="227">
        <f t="shared" si="26"/>
        <v>49366</v>
      </c>
      <c r="AG97" s="341">
        <f t="shared" si="27"/>
        <v>49366</v>
      </c>
    </row>
    <row r="98" spans="1:34">
      <c r="A98" s="352" t="s">
        <v>72</v>
      </c>
      <c r="B98" s="427">
        <v>5</v>
      </c>
      <c r="C98" s="220" t="s">
        <v>8</v>
      </c>
      <c r="D98" s="379" t="s">
        <v>464</v>
      </c>
      <c r="E98" s="379" t="s">
        <v>347</v>
      </c>
      <c r="F98" t="s">
        <v>347</v>
      </c>
      <c r="G98"/>
      <c r="H98"/>
      <c r="I98" s="379"/>
      <c r="J98" t="str">
        <f t="shared" si="16"/>
        <v>FL-Yes</v>
      </c>
      <c r="K98" t="str">
        <f t="shared" si="17"/>
        <v>FL-Yes</v>
      </c>
      <c r="L98" s="417"/>
      <c r="M98" s="417"/>
      <c r="N98" s="255">
        <v>1992</v>
      </c>
      <c r="O98" s="416">
        <v>112340</v>
      </c>
      <c r="P98" s="416"/>
      <c r="Q98" s="416">
        <v>59237</v>
      </c>
      <c r="R98" s="416"/>
      <c r="S98" s="416">
        <v>0</v>
      </c>
      <c r="T98" s="353">
        <f t="shared" si="18"/>
        <v>171577</v>
      </c>
      <c r="U98" s="228"/>
      <c r="V98" s="221">
        <f t="shared" si="19"/>
        <v>112340</v>
      </c>
      <c r="W98" s="388">
        <f t="shared" si="29"/>
        <v>59237</v>
      </c>
      <c r="X98" s="222">
        <f t="shared" si="20"/>
        <v>0.30949952499460881</v>
      </c>
      <c r="Y98" s="421">
        <f t="shared" si="28"/>
        <v>0.30949952499460887</v>
      </c>
      <c r="Z98" s="223">
        <f t="shared" si="21"/>
        <v>0.65474976249730443</v>
      </c>
      <c r="AA98" s="224" t="str">
        <f t="shared" si="22"/>
        <v>FL-No</v>
      </c>
      <c r="AB98" s="225" t="str">
        <f t="shared" si="23"/>
        <v>FL-Dem</v>
      </c>
      <c r="AC98" s="422" t="str">
        <f>C98&amp;"-"&amp;IF(Y98&gt;Instructions!$H$14,Instructions!$I$14,IF(Y98&gt;Instructions!$H$15,Instructions!$I$15,IF(Y98&gt;Instructions!$H$16,Instructions!$I$16,IF(Y98&gt;Instructions!$H$17,Instructions!$I$17,Instructions!$I$18))))</f>
        <v>FL-Landslide</v>
      </c>
      <c r="AD98" s="226">
        <f t="shared" si="24"/>
        <v>0</v>
      </c>
      <c r="AE98" s="226">
        <f t="shared" si="25"/>
        <v>59237</v>
      </c>
      <c r="AF98" s="227">
        <f t="shared" si="26"/>
        <v>0</v>
      </c>
      <c r="AG98" s="341">
        <f t="shared" si="27"/>
        <v>59237</v>
      </c>
    </row>
    <row r="99" spans="1:34">
      <c r="A99" s="352" t="s">
        <v>72</v>
      </c>
      <c r="B99" s="427">
        <v>6</v>
      </c>
      <c r="C99" s="220" t="s">
        <v>8</v>
      </c>
      <c r="D99" s="379" t="s">
        <v>465</v>
      </c>
      <c r="E99" s="379"/>
      <c r="F99"/>
      <c r="G99" s="379" t="s">
        <v>347</v>
      </c>
      <c r="H99"/>
      <c r="I99"/>
      <c r="J99" t="str">
        <f t="shared" si="16"/>
        <v>FL-Yes</v>
      </c>
      <c r="K99" t="str">
        <f t="shared" si="17"/>
        <v>FL-Yes</v>
      </c>
      <c r="L99" s="415"/>
      <c r="M99" s="415"/>
      <c r="N99" s="255">
        <v>2012</v>
      </c>
      <c r="O99" s="416">
        <v>99563</v>
      </c>
      <c r="P99" s="416"/>
      <c r="Q99" s="416">
        <v>166254</v>
      </c>
      <c r="R99" s="416"/>
      <c r="S99" s="416">
        <v>0</v>
      </c>
      <c r="T99" s="353">
        <f t="shared" si="18"/>
        <v>265817</v>
      </c>
      <c r="U99" s="228"/>
      <c r="V99" s="221">
        <f t="shared" si="19"/>
        <v>166254</v>
      </c>
      <c r="W99" s="388">
        <f t="shared" si="29"/>
        <v>99563</v>
      </c>
      <c r="X99" s="222">
        <f t="shared" si="20"/>
        <v>0.25089065033462871</v>
      </c>
      <c r="Y99" s="421">
        <f t="shared" si="28"/>
        <v>0.25089065033462871</v>
      </c>
      <c r="Z99" s="223">
        <f t="shared" si="21"/>
        <v>0.62544532516731433</v>
      </c>
      <c r="AA99" s="224" t="str">
        <f t="shared" si="22"/>
        <v>FL-No</v>
      </c>
      <c r="AB99" s="225" t="str">
        <f t="shared" si="23"/>
        <v>FL-Rep</v>
      </c>
      <c r="AC99" s="422" t="str">
        <f>C99&amp;"-"&amp;IF(Y99&gt;Instructions!$H$14,Instructions!$I$14,IF(Y99&gt;Instructions!$H$15,Instructions!$I$15,IF(Y99&gt;Instructions!$H$16,Instructions!$I$16,IF(Y99&gt;Instructions!$H$17,Instructions!$I$17,Instructions!$I$18))))</f>
        <v>FL-Landslide</v>
      </c>
      <c r="AD99" s="226">
        <f t="shared" si="24"/>
        <v>99563</v>
      </c>
      <c r="AE99" s="226">
        <f t="shared" si="25"/>
        <v>0</v>
      </c>
      <c r="AF99" s="227">
        <f t="shared" si="26"/>
        <v>0</v>
      </c>
      <c r="AG99" s="341">
        <f t="shared" si="27"/>
        <v>99563</v>
      </c>
    </row>
    <row r="100" spans="1:34">
      <c r="A100" s="352" t="s">
        <v>72</v>
      </c>
      <c r="B100" s="427">
        <v>7</v>
      </c>
      <c r="C100" s="220" t="s">
        <v>8</v>
      </c>
      <c r="D100" s="379" t="s">
        <v>466</v>
      </c>
      <c r="E100" s="379"/>
      <c r="F100" s="379"/>
      <c r="G100" s="379"/>
      <c r="H100"/>
      <c r="I100"/>
      <c r="J100" t="str">
        <f t="shared" si="16"/>
        <v>FL-Yes</v>
      </c>
      <c r="K100" t="str">
        <f t="shared" si="17"/>
        <v>FL-Yes</v>
      </c>
      <c r="L100" s="415"/>
      <c r="M100" s="415"/>
      <c r="N100" s="255">
        <v>2012</v>
      </c>
      <c r="O100" s="416">
        <v>73011</v>
      </c>
      <c r="P100" s="416"/>
      <c r="Q100" s="416">
        <v>144474</v>
      </c>
      <c r="R100" s="416"/>
      <c r="S100" s="416">
        <v>9679</v>
      </c>
      <c r="T100" s="353">
        <f t="shared" si="18"/>
        <v>227164</v>
      </c>
      <c r="U100" s="228"/>
      <c r="V100" s="221">
        <f t="shared" si="19"/>
        <v>144474</v>
      </c>
      <c r="W100" s="388">
        <f t="shared" si="29"/>
        <v>73011</v>
      </c>
      <c r="X100" s="222">
        <f t="shared" si="20"/>
        <v>0.32858817849506861</v>
      </c>
      <c r="Y100" s="421">
        <f t="shared" si="28"/>
        <v>0.31458769875508441</v>
      </c>
      <c r="Z100" s="223">
        <f t="shared" si="21"/>
        <v>0.63598985754785087</v>
      </c>
      <c r="AA100" s="224" t="str">
        <f t="shared" si="22"/>
        <v>FL-No</v>
      </c>
      <c r="AB100" s="225" t="str">
        <f t="shared" si="23"/>
        <v>FL-Rep</v>
      </c>
      <c r="AC100" s="422" t="str">
        <f>C100&amp;"-"&amp;IF(Y100&gt;Instructions!$H$14,Instructions!$I$14,IF(Y100&gt;Instructions!$H$15,Instructions!$I$15,IF(Y100&gt;Instructions!$H$16,Instructions!$I$16,IF(Y100&gt;Instructions!$H$17,Instructions!$I$17,Instructions!$I$18))))</f>
        <v>FL-Landslide</v>
      </c>
      <c r="AD100" s="226">
        <f t="shared" si="24"/>
        <v>73011</v>
      </c>
      <c r="AE100" s="226">
        <f t="shared" si="25"/>
        <v>0</v>
      </c>
      <c r="AF100" s="227">
        <f t="shared" si="26"/>
        <v>9679</v>
      </c>
      <c r="AG100" s="341">
        <f t="shared" si="27"/>
        <v>82690</v>
      </c>
      <c r="AH100" s="380"/>
    </row>
    <row r="101" spans="1:34">
      <c r="A101" s="352" t="s">
        <v>72</v>
      </c>
      <c r="B101" s="427">
        <v>8</v>
      </c>
      <c r="C101" s="220" t="s">
        <v>8</v>
      </c>
      <c r="D101" s="379" t="s">
        <v>467</v>
      </c>
      <c r="E101"/>
      <c r="F101"/>
      <c r="G101" s="379"/>
      <c r="H101"/>
      <c r="I101"/>
      <c r="J101" t="str">
        <f t="shared" si="16"/>
        <v>FL-Yes</v>
      </c>
      <c r="K101" t="str">
        <f t="shared" si="17"/>
        <v>FL-Yes</v>
      </c>
      <c r="L101" s="415"/>
      <c r="M101" s="415"/>
      <c r="N101" s="255">
        <v>2008</v>
      </c>
      <c r="O101" s="416">
        <v>93724</v>
      </c>
      <c r="P101" s="416"/>
      <c r="Q101" s="416">
        <v>180728</v>
      </c>
      <c r="R101" s="416"/>
      <c r="S101" s="416">
        <v>61</v>
      </c>
      <c r="T101" s="353">
        <f t="shared" si="18"/>
        <v>274513</v>
      </c>
      <c r="U101" s="228"/>
      <c r="V101" s="221">
        <f t="shared" si="19"/>
        <v>180728</v>
      </c>
      <c r="W101" s="388">
        <f t="shared" si="29"/>
        <v>93724</v>
      </c>
      <c r="X101" s="222">
        <f t="shared" si="20"/>
        <v>0.31700989608383251</v>
      </c>
      <c r="Y101" s="421">
        <f t="shared" si="28"/>
        <v>0.31693945277637126</v>
      </c>
      <c r="Z101" s="223">
        <f t="shared" si="21"/>
        <v>0.65835862053891803</v>
      </c>
      <c r="AA101" s="224" t="str">
        <f t="shared" si="22"/>
        <v>FL-No</v>
      </c>
      <c r="AB101" s="225" t="str">
        <f t="shared" si="23"/>
        <v>FL-Rep</v>
      </c>
      <c r="AC101" s="422" t="str">
        <f>C101&amp;"-"&amp;IF(Y101&gt;Instructions!$H$14,Instructions!$I$14,IF(Y101&gt;Instructions!$H$15,Instructions!$I$15,IF(Y101&gt;Instructions!$H$16,Instructions!$I$16,IF(Y101&gt;Instructions!$H$17,Instructions!$I$17,Instructions!$I$18))))</f>
        <v>FL-Landslide</v>
      </c>
      <c r="AD101" s="226">
        <f t="shared" si="24"/>
        <v>93724</v>
      </c>
      <c r="AE101" s="226">
        <f t="shared" si="25"/>
        <v>0</v>
      </c>
      <c r="AF101" s="227">
        <f t="shared" si="26"/>
        <v>61</v>
      </c>
      <c r="AG101" s="341">
        <f t="shared" si="27"/>
        <v>93785</v>
      </c>
    </row>
    <row r="102" spans="1:34">
      <c r="A102" s="352" t="s">
        <v>72</v>
      </c>
      <c r="B102" s="427">
        <v>9</v>
      </c>
      <c r="C102" s="220" t="s">
        <v>8</v>
      </c>
      <c r="D102" s="379" t="s">
        <v>468</v>
      </c>
      <c r="E102" s="379"/>
      <c r="F102" s="379"/>
      <c r="G102"/>
      <c r="H102"/>
      <c r="I102"/>
      <c r="J102" t="str">
        <f t="shared" si="16"/>
        <v>FL-Yes</v>
      </c>
      <c r="K102" t="str">
        <f t="shared" si="17"/>
        <v>FL-Yes</v>
      </c>
      <c r="L102" s="417"/>
      <c r="M102" s="417"/>
      <c r="N102" s="255">
        <v>2012</v>
      </c>
      <c r="O102" s="416">
        <v>93850</v>
      </c>
      <c r="P102" s="416"/>
      <c r="Q102" s="416">
        <v>74963</v>
      </c>
      <c r="R102" s="416"/>
      <c r="S102" s="416">
        <v>5065</v>
      </c>
      <c r="T102" s="353">
        <f t="shared" si="18"/>
        <v>173878</v>
      </c>
      <c r="U102" s="228"/>
      <c r="V102" s="221">
        <f t="shared" si="19"/>
        <v>93850</v>
      </c>
      <c r="W102" s="388">
        <f t="shared" si="29"/>
        <v>74963</v>
      </c>
      <c r="X102" s="222">
        <f t="shared" si="20"/>
        <v>0.11188119398387565</v>
      </c>
      <c r="Y102" s="421">
        <f t="shared" si="28"/>
        <v>0.10862213736067822</v>
      </c>
      <c r="Z102" s="223">
        <f t="shared" si="21"/>
        <v>0.53974625887116257</v>
      </c>
      <c r="AA102" s="224" t="str">
        <f t="shared" si="22"/>
        <v>FL-No</v>
      </c>
      <c r="AB102" s="225" t="str">
        <f t="shared" si="23"/>
        <v>FL-Dem</v>
      </c>
      <c r="AC102" s="422" t="str">
        <f>C102&amp;"-"&amp;IF(Y102&gt;Instructions!$H$14,Instructions!$I$14,IF(Y102&gt;Instructions!$H$15,Instructions!$I$15,IF(Y102&gt;Instructions!$H$16,Instructions!$I$16,IF(Y102&gt;Instructions!$H$17,Instructions!$I$17,Instructions!$I$18))))</f>
        <v>FL-Opportunity</v>
      </c>
      <c r="AD102" s="226">
        <f t="shared" si="24"/>
        <v>0</v>
      </c>
      <c r="AE102" s="226">
        <f t="shared" si="25"/>
        <v>74963</v>
      </c>
      <c r="AF102" s="227">
        <f t="shared" si="26"/>
        <v>5065</v>
      </c>
      <c r="AG102" s="341">
        <f t="shared" si="27"/>
        <v>80028</v>
      </c>
    </row>
    <row r="103" spans="1:34">
      <c r="A103" s="352" t="s">
        <v>72</v>
      </c>
      <c r="B103" s="426">
        <v>10</v>
      </c>
      <c r="C103" s="220" t="s">
        <v>8</v>
      </c>
      <c r="D103" s="379" t="s">
        <v>469</v>
      </c>
      <c r="E103" s="381"/>
      <c r="F103" s="379"/>
      <c r="G103"/>
      <c r="H103"/>
      <c r="I103"/>
      <c r="J103" t="str">
        <f t="shared" si="16"/>
        <v>FL-Yes</v>
      </c>
      <c r="K103" t="str">
        <f t="shared" si="17"/>
        <v>FL-Yes</v>
      </c>
      <c r="L103" s="415"/>
      <c r="M103" s="415"/>
      <c r="N103" s="255">
        <v>2010</v>
      </c>
      <c r="O103" s="416">
        <v>89426</v>
      </c>
      <c r="P103" s="416"/>
      <c r="Q103" s="416">
        <v>143128</v>
      </c>
      <c r="R103" s="416"/>
      <c r="S103" s="416">
        <v>20</v>
      </c>
      <c r="T103" s="353">
        <f t="shared" si="18"/>
        <v>232574</v>
      </c>
      <c r="U103" s="228"/>
      <c r="V103" s="221">
        <f t="shared" si="19"/>
        <v>143128</v>
      </c>
      <c r="W103" s="388">
        <f t="shared" si="29"/>
        <v>89426</v>
      </c>
      <c r="X103" s="222">
        <f t="shared" si="20"/>
        <v>0.23092271042424556</v>
      </c>
      <c r="Y103" s="421">
        <f t="shared" si="28"/>
        <v>0.23090285242546454</v>
      </c>
      <c r="Z103" s="223">
        <f t="shared" si="21"/>
        <v>0.61540842914513227</v>
      </c>
      <c r="AA103" s="224" t="str">
        <f t="shared" ref="AA103:AA134" si="30">C103&amp;"-"&amp;IF(O103*Q103=0,"Yes","No")</f>
        <v>FL-No</v>
      </c>
      <c r="AB103" s="225" t="str">
        <f t="shared" si="23"/>
        <v>FL-Rep</v>
      </c>
      <c r="AC103" s="422" t="str">
        <f>C103&amp;"-"&amp;IF(Y103&gt;Instructions!$H$14,Instructions!$I$14,IF(Y103&gt;Instructions!$H$15,Instructions!$I$15,IF(Y103&gt;Instructions!$H$16,Instructions!$I$16,IF(Y103&gt;Instructions!$H$17,Instructions!$I$17,Instructions!$I$18))))</f>
        <v>FL-Landslide</v>
      </c>
      <c r="AD103" s="226">
        <f t="shared" si="24"/>
        <v>89426</v>
      </c>
      <c r="AE103" s="226">
        <f t="shared" si="25"/>
        <v>0</v>
      </c>
      <c r="AF103" s="227">
        <f t="shared" si="26"/>
        <v>20</v>
      </c>
      <c r="AG103" s="341">
        <f t="shared" si="27"/>
        <v>89446</v>
      </c>
    </row>
    <row r="104" spans="1:34">
      <c r="A104" s="352" t="s">
        <v>72</v>
      </c>
      <c r="B104" s="427">
        <v>11</v>
      </c>
      <c r="C104" s="220" t="s">
        <v>8</v>
      </c>
      <c r="D104" s="379" t="s">
        <v>470</v>
      </c>
      <c r="E104" s="379"/>
      <c r="F104" s="379"/>
      <c r="G104"/>
      <c r="H104"/>
      <c r="I104" s="379"/>
      <c r="J104" t="str">
        <f t="shared" si="16"/>
        <v>FL-Yes</v>
      </c>
      <c r="K104" t="str">
        <f t="shared" si="17"/>
        <v>FL-Yes</v>
      </c>
      <c r="L104" s="415"/>
      <c r="M104" s="415"/>
      <c r="N104" s="255">
        <v>2010</v>
      </c>
      <c r="O104" s="416">
        <v>90786</v>
      </c>
      <c r="P104" s="416"/>
      <c r="Q104" s="416">
        <v>181508</v>
      </c>
      <c r="R104" s="416"/>
      <c r="S104" s="416">
        <v>0</v>
      </c>
      <c r="T104" s="353">
        <f t="shared" si="18"/>
        <v>272294</v>
      </c>
      <c r="U104" s="228"/>
      <c r="V104" s="221">
        <f t="shared" si="19"/>
        <v>181508</v>
      </c>
      <c r="W104" s="388">
        <f t="shared" si="29"/>
        <v>90786</v>
      </c>
      <c r="X104" s="222">
        <f t="shared" si="20"/>
        <v>0.33317663995534241</v>
      </c>
      <c r="Y104" s="421">
        <f t="shared" si="28"/>
        <v>0.33317663995534241</v>
      </c>
      <c r="Z104" s="223">
        <f t="shared" si="21"/>
        <v>0.66658831997767121</v>
      </c>
      <c r="AA104" s="224" t="str">
        <f t="shared" si="30"/>
        <v>FL-No</v>
      </c>
      <c r="AB104" s="225" t="str">
        <f t="shared" si="23"/>
        <v>FL-Rep</v>
      </c>
      <c r="AC104" s="422" t="str">
        <f>C104&amp;"-"&amp;IF(Y104&gt;Instructions!$H$14,Instructions!$I$14,IF(Y104&gt;Instructions!$H$15,Instructions!$I$15,IF(Y104&gt;Instructions!$H$16,Instructions!$I$16,IF(Y104&gt;Instructions!$H$17,Instructions!$I$17,Instructions!$I$18))))</f>
        <v>FL-Landslide</v>
      </c>
      <c r="AD104" s="226">
        <f t="shared" si="24"/>
        <v>90786</v>
      </c>
      <c r="AE104" s="226">
        <f t="shared" si="25"/>
        <v>0</v>
      </c>
      <c r="AF104" s="227">
        <f t="shared" si="26"/>
        <v>0</v>
      </c>
      <c r="AG104" s="341">
        <f t="shared" si="27"/>
        <v>90786</v>
      </c>
    </row>
    <row r="105" spans="1:34">
      <c r="A105" s="352" t="s">
        <v>72</v>
      </c>
      <c r="B105" s="427">
        <v>12</v>
      </c>
      <c r="C105" s="220" t="s">
        <v>8</v>
      </c>
      <c r="D105" s="379" t="s">
        <v>471</v>
      </c>
      <c r="E105"/>
      <c r="F105"/>
      <c r="G105"/>
      <c r="H105"/>
      <c r="I105" s="379"/>
      <c r="J105" t="str">
        <f t="shared" si="16"/>
        <v>FL-Yes</v>
      </c>
      <c r="K105" t="str">
        <f t="shared" si="17"/>
        <v>FL-Yes</v>
      </c>
      <c r="L105" s="415"/>
      <c r="M105" s="415"/>
      <c r="N105" s="255">
        <v>2006</v>
      </c>
      <c r="O105" s="416">
        <v>0</v>
      </c>
      <c r="P105" s="416"/>
      <c r="Q105" s="416">
        <v>1</v>
      </c>
      <c r="R105" s="416"/>
      <c r="S105" s="416">
        <v>0</v>
      </c>
      <c r="T105" s="353">
        <f t="shared" si="18"/>
        <v>1</v>
      </c>
      <c r="U105" s="228"/>
      <c r="V105" s="221">
        <f t="shared" si="19"/>
        <v>1</v>
      </c>
      <c r="W105" s="388">
        <f t="shared" si="29"/>
        <v>0</v>
      </c>
      <c r="X105" s="222">
        <f t="shared" si="20"/>
        <v>1</v>
      </c>
      <c r="Y105" s="421">
        <f t="shared" si="28"/>
        <v>1</v>
      </c>
      <c r="Z105" s="223">
        <f t="shared" si="21"/>
        <v>1</v>
      </c>
      <c r="AA105" s="224" t="str">
        <f t="shared" si="30"/>
        <v>FL-Yes</v>
      </c>
      <c r="AB105" s="225" t="str">
        <f t="shared" si="23"/>
        <v>FL-Rep</v>
      </c>
      <c r="AC105" s="422" t="str">
        <f>C105&amp;"-"&amp;IF(Y105&gt;Instructions!$H$14,Instructions!$I$14,IF(Y105&gt;Instructions!$H$15,Instructions!$I$15,IF(Y105&gt;Instructions!$H$16,Instructions!$I$16,IF(Y105&gt;Instructions!$H$17,Instructions!$I$17,Instructions!$I$18))))</f>
        <v>FL-No contest</v>
      </c>
      <c r="AD105" s="226">
        <f t="shared" si="24"/>
        <v>0</v>
      </c>
      <c r="AE105" s="226">
        <f t="shared" si="25"/>
        <v>0</v>
      </c>
      <c r="AF105" s="227">
        <f t="shared" si="26"/>
        <v>0</v>
      </c>
      <c r="AG105" s="341">
        <f t="shared" si="27"/>
        <v>0</v>
      </c>
    </row>
    <row r="106" spans="1:34">
      <c r="A106" s="352" t="s">
        <v>72</v>
      </c>
      <c r="B106" s="427">
        <v>13</v>
      </c>
      <c r="C106" s="220" t="s">
        <v>8</v>
      </c>
      <c r="D106" s="379" t="s">
        <v>774</v>
      </c>
      <c r="E106"/>
      <c r="F106"/>
      <c r="G106"/>
      <c r="H106"/>
      <c r="I106"/>
      <c r="J106" t="str">
        <f t="shared" si="16"/>
        <v>FL-Yes</v>
      </c>
      <c r="K106" t="str">
        <f t="shared" si="17"/>
        <v>FL-Yes</v>
      </c>
      <c r="L106" s="352"/>
      <c r="M106" s="352"/>
      <c r="N106" s="255">
        <v>2013.5</v>
      </c>
      <c r="O106" s="416">
        <v>0</v>
      </c>
      <c r="P106" s="416"/>
      <c r="Q106" s="416">
        <v>168172</v>
      </c>
      <c r="R106" s="416"/>
      <c r="S106" s="416">
        <v>55404</v>
      </c>
      <c r="T106" s="353">
        <f t="shared" si="18"/>
        <v>223576</v>
      </c>
      <c r="U106" s="228"/>
      <c r="V106" s="221">
        <f t="shared" si="19"/>
        <v>168172</v>
      </c>
      <c r="W106" s="388">
        <v>55318</v>
      </c>
      <c r="X106" s="222">
        <f t="shared" si="20"/>
        <v>1</v>
      </c>
      <c r="Y106" s="421">
        <f t="shared" si="28"/>
        <v>0.50476795362650728</v>
      </c>
      <c r="Z106" s="223">
        <f t="shared" si="21"/>
        <v>0.75219164847747522</v>
      </c>
      <c r="AA106" s="224" t="str">
        <f t="shared" si="30"/>
        <v>FL-Yes</v>
      </c>
      <c r="AB106" s="225" t="str">
        <f t="shared" si="23"/>
        <v>FL-Rep</v>
      </c>
      <c r="AC106" s="422" t="str">
        <f>C106&amp;"-"&amp;IF(Y106&gt;Instructions!$H$14,Instructions!$I$14,IF(Y106&gt;Instructions!$H$15,Instructions!$I$15,IF(Y106&gt;Instructions!$H$16,Instructions!$I$16,IF(Y106&gt;Instructions!$H$17,Instructions!$I$17,Instructions!$I$18))))</f>
        <v>FL-No contest</v>
      </c>
      <c r="AD106" s="226">
        <f t="shared" si="24"/>
        <v>0</v>
      </c>
      <c r="AE106" s="226">
        <f t="shared" si="25"/>
        <v>0</v>
      </c>
      <c r="AF106" s="227">
        <f t="shared" si="26"/>
        <v>55404</v>
      </c>
      <c r="AG106" s="341">
        <f t="shared" si="27"/>
        <v>55404</v>
      </c>
    </row>
    <row r="107" spans="1:34">
      <c r="A107" s="352" t="s">
        <v>72</v>
      </c>
      <c r="B107" s="427">
        <v>14</v>
      </c>
      <c r="C107" s="220" t="s">
        <v>8</v>
      </c>
      <c r="D107" s="379" t="s">
        <v>472</v>
      </c>
      <c r="E107" s="379" t="s">
        <v>347</v>
      </c>
      <c r="F107" s="379"/>
      <c r="G107"/>
      <c r="H107"/>
      <c r="I107"/>
      <c r="J107" t="str">
        <f t="shared" si="16"/>
        <v>FL-Yes</v>
      </c>
      <c r="K107" t="str">
        <f t="shared" si="17"/>
        <v>FL-Yes</v>
      </c>
      <c r="L107" s="417"/>
      <c r="M107" s="417"/>
      <c r="N107" s="255">
        <v>2006</v>
      </c>
      <c r="O107" s="416">
        <v>1</v>
      </c>
      <c r="P107" s="416"/>
      <c r="Q107" s="416">
        <v>0</v>
      </c>
      <c r="R107" s="416"/>
      <c r="S107" s="416">
        <v>0</v>
      </c>
      <c r="T107" s="353">
        <f t="shared" si="18"/>
        <v>1</v>
      </c>
      <c r="U107" s="228"/>
      <c r="V107" s="221">
        <f t="shared" si="19"/>
        <v>1</v>
      </c>
      <c r="W107" s="388">
        <f t="shared" si="29"/>
        <v>0</v>
      </c>
      <c r="X107" s="222">
        <f t="shared" si="20"/>
        <v>1</v>
      </c>
      <c r="Y107" s="421">
        <f t="shared" si="28"/>
        <v>1</v>
      </c>
      <c r="Z107" s="223">
        <f t="shared" si="21"/>
        <v>1</v>
      </c>
      <c r="AA107" s="224" t="str">
        <f t="shared" si="30"/>
        <v>FL-Yes</v>
      </c>
      <c r="AB107" s="225" t="str">
        <f t="shared" si="23"/>
        <v>FL-Dem</v>
      </c>
      <c r="AC107" s="422" t="str">
        <f>C107&amp;"-"&amp;IF(Y107&gt;Instructions!$H$14,Instructions!$I$14,IF(Y107&gt;Instructions!$H$15,Instructions!$I$15,IF(Y107&gt;Instructions!$H$16,Instructions!$I$16,IF(Y107&gt;Instructions!$H$17,Instructions!$I$17,Instructions!$I$18))))</f>
        <v>FL-No contest</v>
      </c>
      <c r="AD107" s="226">
        <f t="shared" si="24"/>
        <v>0</v>
      </c>
      <c r="AE107" s="226">
        <f t="shared" si="25"/>
        <v>0</v>
      </c>
      <c r="AF107" s="227">
        <f t="shared" si="26"/>
        <v>0</v>
      </c>
      <c r="AG107" s="341">
        <f t="shared" si="27"/>
        <v>0</v>
      </c>
    </row>
    <row r="108" spans="1:34">
      <c r="A108" s="352" t="s">
        <v>72</v>
      </c>
      <c r="B108" s="427">
        <v>15</v>
      </c>
      <c r="C108" s="220" t="s">
        <v>8</v>
      </c>
      <c r="D108" s="379" t="s">
        <v>473</v>
      </c>
      <c r="E108" s="379"/>
      <c r="F108" s="379"/>
      <c r="G108"/>
      <c r="H108"/>
      <c r="I108"/>
      <c r="J108" t="str">
        <f t="shared" si="16"/>
        <v>FL-Yes</v>
      </c>
      <c r="K108" t="str">
        <f t="shared" si="17"/>
        <v>FL-Yes</v>
      </c>
      <c r="L108" s="352"/>
      <c r="M108" s="352"/>
      <c r="N108" s="255">
        <v>2010</v>
      </c>
      <c r="O108" s="416">
        <v>84832</v>
      </c>
      <c r="P108" s="416"/>
      <c r="Q108" s="416">
        <v>128750</v>
      </c>
      <c r="R108" s="416"/>
      <c r="S108" s="416">
        <v>0</v>
      </c>
      <c r="T108" s="353">
        <f t="shared" si="18"/>
        <v>213582</v>
      </c>
      <c r="U108" s="228"/>
      <c r="V108" s="221">
        <f t="shared" si="19"/>
        <v>128750</v>
      </c>
      <c r="W108" s="388">
        <f t="shared" si="29"/>
        <v>84832</v>
      </c>
      <c r="X108" s="222">
        <f t="shared" si="20"/>
        <v>0.20562594226105196</v>
      </c>
      <c r="Y108" s="421">
        <f t="shared" si="28"/>
        <v>0.20562594226105196</v>
      </c>
      <c r="Z108" s="223">
        <f t="shared" si="21"/>
        <v>0.60281297113052601</v>
      </c>
      <c r="AA108" s="224" t="str">
        <f t="shared" si="30"/>
        <v>FL-No</v>
      </c>
      <c r="AB108" s="225" t="str">
        <f t="shared" si="23"/>
        <v>FL-Rep</v>
      </c>
      <c r="AC108" s="422" t="str">
        <f>C108&amp;"-"&amp;IF(Y108&gt;Instructions!$H$14,Instructions!$I$14,IF(Y108&gt;Instructions!$H$15,Instructions!$I$15,IF(Y108&gt;Instructions!$H$16,Instructions!$I$16,IF(Y108&gt;Instructions!$H$17,Instructions!$I$17,Instructions!$I$18))))</f>
        <v>FL-Landslide</v>
      </c>
      <c r="AD108" s="226">
        <f t="shared" si="24"/>
        <v>84832</v>
      </c>
      <c r="AE108" s="226">
        <f t="shared" si="25"/>
        <v>0</v>
      </c>
      <c r="AF108" s="227">
        <f t="shared" si="26"/>
        <v>0</v>
      </c>
      <c r="AG108" s="341">
        <f t="shared" si="27"/>
        <v>84832</v>
      </c>
    </row>
    <row r="109" spans="1:34">
      <c r="A109" s="352" t="s">
        <v>72</v>
      </c>
      <c r="B109" s="427">
        <v>16</v>
      </c>
      <c r="C109" s="220" t="s">
        <v>8</v>
      </c>
      <c r="D109" s="379" t="s">
        <v>474</v>
      </c>
      <c r="E109" s="379"/>
      <c r="F109"/>
      <c r="G109"/>
      <c r="H109"/>
      <c r="I109"/>
      <c r="J109" t="str">
        <f t="shared" si="16"/>
        <v>FL-Yes</v>
      </c>
      <c r="K109" t="str">
        <f t="shared" si="17"/>
        <v>FL-Yes</v>
      </c>
      <c r="L109" s="415"/>
      <c r="M109" s="415"/>
      <c r="N109" s="255">
        <v>2006</v>
      </c>
      <c r="O109" s="416">
        <v>105483</v>
      </c>
      <c r="P109" s="416"/>
      <c r="Q109" s="416">
        <v>169126</v>
      </c>
      <c r="R109" s="416"/>
      <c r="S109" s="416">
        <v>220</v>
      </c>
      <c r="T109" s="353">
        <f t="shared" si="18"/>
        <v>274829</v>
      </c>
      <c r="U109" s="228"/>
      <c r="V109" s="221">
        <f t="shared" si="19"/>
        <v>169126</v>
      </c>
      <c r="W109" s="388">
        <f t="shared" si="29"/>
        <v>105483</v>
      </c>
      <c r="X109" s="222">
        <f t="shared" si="20"/>
        <v>0.23175860951389066</v>
      </c>
      <c r="Y109" s="421">
        <f t="shared" si="28"/>
        <v>0.23157308726517212</v>
      </c>
      <c r="Z109" s="223">
        <f t="shared" si="21"/>
        <v>0.61538629475055395</v>
      </c>
      <c r="AA109" s="224" t="str">
        <f t="shared" si="30"/>
        <v>FL-No</v>
      </c>
      <c r="AB109" s="225" t="str">
        <f t="shared" si="23"/>
        <v>FL-Rep</v>
      </c>
      <c r="AC109" s="422" t="str">
        <f>C109&amp;"-"&amp;IF(Y109&gt;Instructions!$H$14,Instructions!$I$14,IF(Y109&gt;Instructions!$H$15,Instructions!$I$15,IF(Y109&gt;Instructions!$H$16,Instructions!$I$16,IF(Y109&gt;Instructions!$H$17,Instructions!$I$17,Instructions!$I$18))))</f>
        <v>FL-Landslide</v>
      </c>
      <c r="AD109" s="226">
        <f t="shared" si="24"/>
        <v>105483</v>
      </c>
      <c r="AE109" s="226">
        <f t="shared" si="25"/>
        <v>0</v>
      </c>
      <c r="AF109" s="227">
        <f t="shared" si="26"/>
        <v>220</v>
      </c>
      <c r="AG109" s="341">
        <f t="shared" si="27"/>
        <v>105703</v>
      </c>
    </row>
    <row r="110" spans="1:34">
      <c r="A110" s="352" t="s">
        <v>72</v>
      </c>
      <c r="B110" s="427">
        <v>17</v>
      </c>
      <c r="C110" s="220" t="s">
        <v>8</v>
      </c>
      <c r="D110" s="379" t="s">
        <v>475</v>
      </c>
      <c r="E110" s="379"/>
      <c r="F110"/>
      <c r="G110" s="381"/>
      <c r="H110"/>
      <c r="I110"/>
      <c r="J110" t="str">
        <f t="shared" si="16"/>
        <v>FL-Yes</v>
      </c>
      <c r="K110" t="str">
        <f t="shared" si="17"/>
        <v>FL-Yes</v>
      </c>
      <c r="L110" s="415"/>
      <c r="M110" s="415"/>
      <c r="N110" s="255">
        <v>2008</v>
      </c>
      <c r="O110" s="416">
        <v>82263</v>
      </c>
      <c r="P110" s="416"/>
      <c r="Q110" s="416">
        <v>141493</v>
      </c>
      <c r="R110" s="416"/>
      <c r="S110" s="416">
        <v>0</v>
      </c>
      <c r="T110" s="353">
        <f t="shared" si="18"/>
        <v>223756</v>
      </c>
      <c r="U110" s="228"/>
      <c r="V110" s="221">
        <f t="shared" si="19"/>
        <v>141493</v>
      </c>
      <c r="W110" s="388">
        <f t="shared" si="29"/>
        <v>82263</v>
      </c>
      <c r="X110" s="222">
        <f t="shared" si="20"/>
        <v>0.26470798548418811</v>
      </c>
      <c r="Y110" s="421">
        <f t="shared" si="28"/>
        <v>0.26470798548418811</v>
      </c>
      <c r="Z110" s="223">
        <f t="shared" si="21"/>
        <v>0.63235399274209403</v>
      </c>
      <c r="AA110" s="224" t="str">
        <f t="shared" si="30"/>
        <v>FL-No</v>
      </c>
      <c r="AB110" s="225" t="str">
        <f t="shared" si="23"/>
        <v>FL-Rep</v>
      </c>
      <c r="AC110" s="422" t="str">
        <f>C110&amp;"-"&amp;IF(Y110&gt;Instructions!$H$14,Instructions!$I$14,IF(Y110&gt;Instructions!$H$15,Instructions!$I$15,IF(Y110&gt;Instructions!$H$16,Instructions!$I$16,IF(Y110&gt;Instructions!$H$17,Instructions!$I$17,Instructions!$I$18))))</f>
        <v>FL-Landslide</v>
      </c>
      <c r="AD110" s="226">
        <f t="shared" si="24"/>
        <v>82263</v>
      </c>
      <c r="AE110" s="226">
        <f t="shared" si="25"/>
        <v>0</v>
      </c>
      <c r="AF110" s="227">
        <f t="shared" si="26"/>
        <v>0</v>
      </c>
      <c r="AG110" s="341">
        <f t="shared" si="27"/>
        <v>82263</v>
      </c>
    </row>
    <row r="111" spans="1:34">
      <c r="A111" s="352" t="s">
        <v>72</v>
      </c>
      <c r="B111" s="427">
        <v>18</v>
      </c>
      <c r="C111" s="220" t="s">
        <v>8</v>
      </c>
      <c r="D111" s="379" t="s">
        <v>476</v>
      </c>
      <c r="E111"/>
      <c r="F111"/>
      <c r="G111"/>
      <c r="H111"/>
      <c r="I111"/>
      <c r="J111" t="str">
        <f t="shared" si="16"/>
        <v>FL-Yes</v>
      </c>
      <c r="K111" t="str">
        <f t="shared" si="17"/>
        <v>FL-Yes</v>
      </c>
      <c r="L111" s="417"/>
      <c r="M111" s="417"/>
      <c r="N111" s="255">
        <v>2012</v>
      </c>
      <c r="O111" s="416">
        <v>151478</v>
      </c>
      <c r="P111" s="416"/>
      <c r="Q111" s="416">
        <v>101896</v>
      </c>
      <c r="R111" s="416"/>
      <c r="S111" s="416">
        <v>0</v>
      </c>
      <c r="T111" s="353">
        <f t="shared" si="18"/>
        <v>253374</v>
      </c>
      <c r="U111" s="396"/>
      <c r="V111" s="221">
        <f t="shared" si="19"/>
        <v>151478</v>
      </c>
      <c r="W111" s="388">
        <f t="shared" si="29"/>
        <v>101896</v>
      </c>
      <c r="X111" s="222">
        <f t="shared" si="20"/>
        <v>0.19568700813816731</v>
      </c>
      <c r="Y111" s="421">
        <f t="shared" si="28"/>
        <v>0.19568700813816725</v>
      </c>
      <c r="Z111" s="223">
        <f t="shared" si="21"/>
        <v>0.5978435040690836</v>
      </c>
      <c r="AA111" s="224" t="str">
        <f t="shared" si="30"/>
        <v>FL-No</v>
      </c>
      <c r="AB111" s="225" t="str">
        <f t="shared" si="23"/>
        <v>FL-Dem</v>
      </c>
      <c r="AC111" s="422" t="str">
        <f>C111&amp;"-"&amp;IF(Y111&gt;Instructions!$H$14,Instructions!$I$14,IF(Y111&gt;Instructions!$H$15,Instructions!$I$15,IF(Y111&gt;Instructions!$H$16,Instructions!$I$16,IF(Y111&gt;Instructions!$H$17,Instructions!$I$17,Instructions!$I$18))))</f>
        <v>FL-Opportunity</v>
      </c>
      <c r="AD111" s="226">
        <f t="shared" si="24"/>
        <v>0</v>
      </c>
      <c r="AE111" s="226">
        <f t="shared" si="25"/>
        <v>101896</v>
      </c>
      <c r="AF111" s="227">
        <f t="shared" si="26"/>
        <v>0</v>
      </c>
      <c r="AG111" s="341">
        <f t="shared" si="27"/>
        <v>101896</v>
      </c>
      <c r="AH111" s="380"/>
    </row>
    <row r="112" spans="1:34">
      <c r="A112" s="352" t="s">
        <v>72</v>
      </c>
      <c r="B112" s="427">
        <v>19</v>
      </c>
      <c r="C112" s="220" t="s">
        <v>8</v>
      </c>
      <c r="D112" s="379" t="s">
        <v>775</v>
      </c>
      <c r="E112"/>
      <c r="F112"/>
      <c r="G112"/>
      <c r="H112"/>
      <c r="I112"/>
      <c r="J112" t="str">
        <f t="shared" si="16"/>
        <v>FL-Yes</v>
      </c>
      <c r="K112" t="str">
        <f t="shared" si="17"/>
        <v>FL-Yes</v>
      </c>
      <c r="L112" s="415"/>
      <c r="M112" s="415"/>
      <c r="N112" s="255">
        <v>2014</v>
      </c>
      <c r="O112" s="416">
        <v>80824</v>
      </c>
      <c r="P112" s="416"/>
      <c r="Q112" s="416">
        <v>159354</v>
      </c>
      <c r="R112" s="416"/>
      <c r="S112" s="416">
        <v>6683</v>
      </c>
      <c r="T112" s="353">
        <f t="shared" si="18"/>
        <v>246861</v>
      </c>
      <c r="U112" s="228"/>
      <c r="V112" s="221">
        <f t="shared" si="19"/>
        <v>159354</v>
      </c>
      <c r="W112" s="388">
        <f t="shared" si="29"/>
        <v>80824</v>
      </c>
      <c r="X112" s="222">
        <f t="shared" si="20"/>
        <v>0.32696583367335891</v>
      </c>
      <c r="Y112" s="421">
        <f t="shared" si="28"/>
        <v>0.31811424242792502</v>
      </c>
      <c r="Z112" s="223">
        <f t="shared" si="21"/>
        <v>0.64552116373181667</v>
      </c>
      <c r="AA112" s="224" t="str">
        <f t="shared" si="30"/>
        <v>FL-No</v>
      </c>
      <c r="AB112" s="225" t="str">
        <f t="shared" si="23"/>
        <v>FL-Rep</v>
      </c>
      <c r="AC112" s="422" t="str">
        <f>C112&amp;"-"&amp;IF(Y112&gt;Instructions!$H$14,Instructions!$I$14,IF(Y112&gt;Instructions!$H$15,Instructions!$I$15,IF(Y112&gt;Instructions!$H$16,Instructions!$I$16,IF(Y112&gt;Instructions!$H$17,Instructions!$I$17,Instructions!$I$18))))</f>
        <v>FL-Landslide</v>
      </c>
      <c r="AD112" s="226">
        <f t="shared" si="24"/>
        <v>80824</v>
      </c>
      <c r="AE112" s="226">
        <f t="shared" si="25"/>
        <v>0</v>
      </c>
      <c r="AF112" s="227">
        <f t="shared" si="26"/>
        <v>6683</v>
      </c>
      <c r="AG112" s="341">
        <f t="shared" si="27"/>
        <v>87507</v>
      </c>
      <c r="AH112" s="380"/>
    </row>
    <row r="113" spans="1:34">
      <c r="A113" s="352" t="s">
        <v>72</v>
      </c>
      <c r="B113" s="427">
        <v>20</v>
      </c>
      <c r="C113" s="220" t="s">
        <v>8</v>
      </c>
      <c r="D113" s="379" t="s">
        <v>477</v>
      </c>
      <c r="E113"/>
      <c r="F113" s="379" t="s">
        <v>347</v>
      </c>
      <c r="G113" s="381"/>
      <c r="H113" s="379"/>
      <c r="I113"/>
      <c r="J113" t="str">
        <f t="shared" si="16"/>
        <v>FL-Yes</v>
      </c>
      <c r="K113" t="str">
        <f t="shared" si="17"/>
        <v>FL-Yes</v>
      </c>
      <c r="L113" s="417"/>
      <c r="M113" s="417"/>
      <c r="N113" s="255">
        <v>1992</v>
      </c>
      <c r="O113" s="416">
        <v>128498</v>
      </c>
      <c r="P113" s="416"/>
      <c r="Q113" s="416">
        <v>28968</v>
      </c>
      <c r="R113" s="416"/>
      <c r="S113" s="416">
        <v>0</v>
      </c>
      <c r="T113" s="353">
        <f t="shared" si="18"/>
        <v>157466</v>
      </c>
      <c r="U113" s="228"/>
      <c r="V113" s="221">
        <f t="shared" si="19"/>
        <v>128498</v>
      </c>
      <c r="W113" s="388">
        <f t="shared" si="29"/>
        <v>28968</v>
      </c>
      <c r="X113" s="222">
        <f t="shared" si="20"/>
        <v>0.63207295543164876</v>
      </c>
      <c r="Y113" s="421">
        <f t="shared" si="28"/>
        <v>0.63207295543164865</v>
      </c>
      <c r="Z113" s="223">
        <f t="shared" si="21"/>
        <v>0.81603647771582433</v>
      </c>
      <c r="AA113" s="224" t="str">
        <f t="shared" si="30"/>
        <v>FL-No</v>
      </c>
      <c r="AB113" s="225" t="str">
        <f t="shared" si="23"/>
        <v>FL-Dem</v>
      </c>
      <c r="AC113" s="422" t="str">
        <f>C113&amp;"-"&amp;IF(Y113&gt;Instructions!$H$14,Instructions!$I$14,IF(Y113&gt;Instructions!$H$15,Instructions!$I$15,IF(Y113&gt;Instructions!$H$16,Instructions!$I$16,IF(Y113&gt;Instructions!$H$17,Instructions!$I$17,Instructions!$I$18))))</f>
        <v>FL-No contest</v>
      </c>
      <c r="AD113" s="226">
        <f t="shared" si="24"/>
        <v>0</v>
      </c>
      <c r="AE113" s="226">
        <f t="shared" si="25"/>
        <v>28968</v>
      </c>
      <c r="AF113" s="227">
        <f t="shared" si="26"/>
        <v>0</v>
      </c>
      <c r="AG113" s="341">
        <f t="shared" si="27"/>
        <v>28968</v>
      </c>
      <c r="AH113" s="380"/>
    </row>
    <row r="114" spans="1:34">
      <c r="A114" s="352" t="s">
        <v>72</v>
      </c>
      <c r="B114" s="427">
        <v>21</v>
      </c>
      <c r="C114" s="220" t="s">
        <v>8</v>
      </c>
      <c r="D114" s="379" t="s">
        <v>478</v>
      </c>
      <c r="E114"/>
      <c r="F114"/>
      <c r="G114"/>
      <c r="H114"/>
      <c r="I114"/>
      <c r="J114" t="str">
        <f t="shared" si="16"/>
        <v>FL-Yes</v>
      </c>
      <c r="K114" t="str">
        <f t="shared" si="17"/>
        <v>FL-Yes</v>
      </c>
      <c r="L114" s="417"/>
      <c r="M114" s="417"/>
      <c r="N114" s="255">
        <v>2010</v>
      </c>
      <c r="O114" s="416">
        <v>153395</v>
      </c>
      <c r="P114" s="416"/>
      <c r="Q114" s="416">
        <v>0</v>
      </c>
      <c r="R114" s="416"/>
      <c r="S114" s="416">
        <v>575</v>
      </c>
      <c r="T114" s="353">
        <f t="shared" si="18"/>
        <v>153970</v>
      </c>
      <c r="U114" s="228"/>
      <c r="V114" s="221">
        <f t="shared" si="19"/>
        <v>153395</v>
      </c>
      <c r="W114" s="388">
        <f t="shared" si="29"/>
        <v>575</v>
      </c>
      <c r="X114" s="222">
        <f t="shared" si="20"/>
        <v>1</v>
      </c>
      <c r="Y114" s="421">
        <f t="shared" si="28"/>
        <v>0.99253101253490938</v>
      </c>
      <c r="Z114" s="223">
        <f t="shared" si="21"/>
        <v>0.99626550626745469</v>
      </c>
      <c r="AA114" s="224" t="str">
        <f t="shared" si="30"/>
        <v>FL-Yes</v>
      </c>
      <c r="AB114" s="225" t="str">
        <f t="shared" si="23"/>
        <v>FL-Dem</v>
      </c>
      <c r="AC114" s="422" t="str">
        <f>C114&amp;"-"&amp;IF(Y114&gt;Instructions!$H$14,Instructions!$I$14,IF(Y114&gt;Instructions!$H$15,Instructions!$I$15,IF(Y114&gt;Instructions!$H$16,Instructions!$I$16,IF(Y114&gt;Instructions!$H$17,Instructions!$I$17,Instructions!$I$18))))</f>
        <v>FL-No contest</v>
      </c>
      <c r="AD114" s="226">
        <f t="shared" si="24"/>
        <v>0</v>
      </c>
      <c r="AE114" s="226">
        <f t="shared" si="25"/>
        <v>0</v>
      </c>
      <c r="AF114" s="227">
        <f t="shared" si="26"/>
        <v>575</v>
      </c>
      <c r="AG114" s="341">
        <f t="shared" si="27"/>
        <v>575</v>
      </c>
    </row>
    <row r="115" spans="1:34">
      <c r="A115" s="352" t="s">
        <v>72</v>
      </c>
      <c r="B115" s="427">
        <v>22</v>
      </c>
      <c r="C115" s="220" t="s">
        <v>8</v>
      </c>
      <c r="D115" s="379" t="s">
        <v>479</v>
      </c>
      <c r="E115" t="s">
        <v>347</v>
      </c>
      <c r="F115"/>
      <c r="G115"/>
      <c r="H115"/>
      <c r="I115"/>
      <c r="J115" t="str">
        <f t="shared" si="16"/>
        <v>FL-Yes</v>
      </c>
      <c r="K115" t="str">
        <f t="shared" si="17"/>
        <v>FL-Yes</v>
      </c>
      <c r="L115" s="417"/>
      <c r="M115" s="417"/>
      <c r="N115" s="255">
        <v>2012</v>
      </c>
      <c r="O115" s="416">
        <v>125404</v>
      </c>
      <c r="P115" s="416"/>
      <c r="Q115" s="416">
        <v>90685</v>
      </c>
      <c r="R115" s="416"/>
      <c r="S115" s="416">
        <v>6</v>
      </c>
      <c r="T115" s="353">
        <f t="shared" si="18"/>
        <v>216095</v>
      </c>
      <c r="U115" s="228"/>
      <c r="V115" s="221">
        <f t="shared" si="19"/>
        <v>125404</v>
      </c>
      <c r="W115" s="388">
        <f t="shared" si="29"/>
        <v>90685</v>
      </c>
      <c r="X115" s="222">
        <f t="shared" si="20"/>
        <v>0.16066990915780072</v>
      </c>
      <c r="Y115" s="421">
        <f t="shared" si="28"/>
        <v>0.16066544806682248</v>
      </c>
      <c r="Z115" s="223">
        <f t="shared" si="21"/>
        <v>0.58031884125037603</v>
      </c>
      <c r="AA115" s="224" t="str">
        <f t="shared" si="30"/>
        <v>FL-No</v>
      </c>
      <c r="AB115" s="225" t="str">
        <f t="shared" si="23"/>
        <v>FL-Dem</v>
      </c>
      <c r="AC115" s="422" t="str">
        <f>C115&amp;"-"&amp;IF(Y115&gt;Instructions!$H$14,Instructions!$I$14,IF(Y115&gt;Instructions!$H$15,Instructions!$I$15,IF(Y115&gt;Instructions!$H$16,Instructions!$I$16,IF(Y115&gt;Instructions!$H$17,Instructions!$I$17,Instructions!$I$18))))</f>
        <v>FL-Opportunity</v>
      </c>
      <c r="AD115" s="226">
        <f t="shared" si="24"/>
        <v>0</v>
      </c>
      <c r="AE115" s="226">
        <f t="shared" si="25"/>
        <v>90685</v>
      </c>
      <c r="AF115" s="227">
        <f t="shared" si="26"/>
        <v>6</v>
      </c>
      <c r="AG115" s="341">
        <f t="shared" si="27"/>
        <v>90691</v>
      </c>
    </row>
    <row r="116" spans="1:34">
      <c r="A116" s="352" t="s">
        <v>72</v>
      </c>
      <c r="B116" s="427">
        <v>23</v>
      </c>
      <c r="C116" s="220" t="s">
        <v>8</v>
      </c>
      <c r="D116" s="379" t="s">
        <v>480</v>
      </c>
      <c r="E116" t="s">
        <v>347</v>
      </c>
      <c r="F116" s="379"/>
      <c r="G116"/>
      <c r="H116"/>
      <c r="I116"/>
      <c r="J116" t="str">
        <f t="shared" si="16"/>
        <v>FL-Yes</v>
      </c>
      <c r="K116" t="str">
        <f t="shared" si="17"/>
        <v>FL-Yes</v>
      </c>
      <c r="L116" s="417"/>
      <c r="M116" s="417"/>
      <c r="N116" s="255">
        <v>2004</v>
      </c>
      <c r="O116" s="416">
        <v>103269</v>
      </c>
      <c r="P116" s="416"/>
      <c r="Q116" s="416">
        <v>61519</v>
      </c>
      <c r="R116" s="416"/>
      <c r="S116" s="416">
        <v>0</v>
      </c>
      <c r="T116" s="353">
        <f t="shared" si="18"/>
        <v>164788</v>
      </c>
      <c r="U116" s="228"/>
      <c r="V116" s="221">
        <f t="shared" si="19"/>
        <v>103269</v>
      </c>
      <c r="W116" s="388">
        <f t="shared" si="29"/>
        <v>61519</v>
      </c>
      <c r="X116" s="222">
        <f t="shared" si="20"/>
        <v>0.2533558268805981</v>
      </c>
      <c r="Y116" s="421">
        <f t="shared" si="28"/>
        <v>0.25335582688059816</v>
      </c>
      <c r="Z116" s="223">
        <f t="shared" si="21"/>
        <v>0.62667791344029911</v>
      </c>
      <c r="AA116" s="224" t="str">
        <f t="shared" si="30"/>
        <v>FL-No</v>
      </c>
      <c r="AB116" s="225" t="str">
        <f t="shared" si="23"/>
        <v>FL-Dem</v>
      </c>
      <c r="AC116" s="422" t="str">
        <f>C116&amp;"-"&amp;IF(Y116&gt;Instructions!$H$14,Instructions!$I$14,IF(Y116&gt;Instructions!$H$15,Instructions!$I$15,IF(Y116&gt;Instructions!$H$16,Instructions!$I$16,IF(Y116&gt;Instructions!$H$17,Instructions!$I$17,Instructions!$I$18))))</f>
        <v>FL-Landslide</v>
      </c>
      <c r="AD116" s="226">
        <f t="shared" si="24"/>
        <v>0</v>
      </c>
      <c r="AE116" s="226">
        <f t="shared" si="25"/>
        <v>61519</v>
      </c>
      <c r="AF116" s="227">
        <f t="shared" si="26"/>
        <v>0</v>
      </c>
      <c r="AG116" s="341">
        <f t="shared" si="27"/>
        <v>61519</v>
      </c>
    </row>
    <row r="117" spans="1:34">
      <c r="A117" s="352" t="s">
        <v>72</v>
      </c>
      <c r="B117" s="427">
        <v>24</v>
      </c>
      <c r="C117" s="220" t="s">
        <v>8</v>
      </c>
      <c r="D117" s="379" t="s">
        <v>481</v>
      </c>
      <c r="E117" t="s">
        <v>347</v>
      </c>
      <c r="F117" s="379" t="s">
        <v>347</v>
      </c>
      <c r="G117" s="381"/>
      <c r="H117"/>
      <c r="I117"/>
      <c r="J117" t="str">
        <f t="shared" si="16"/>
        <v>FL-Yes</v>
      </c>
      <c r="K117" t="str">
        <f t="shared" si="17"/>
        <v>FL-Yes</v>
      </c>
      <c r="L117" s="417"/>
      <c r="M117" s="417"/>
      <c r="N117" s="255">
        <v>2010</v>
      </c>
      <c r="O117" s="416">
        <v>129192</v>
      </c>
      <c r="P117" s="416"/>
      <c r="Q117" s="416">
        <v>15239</v>
      </c>
      <c r="R117" s="416"/>
      <c r="S117" s="416">
        <v>5487</v>
      </c>
      <c r="T117" s="353">
        <f t="shared" si="18"/>
        <v>149918</v>
      </c>
      <c r="U117" s="228"/>
      <c r="V117" s="221">
        <f t="shared" si="19"/>
        <v>129192</v>
      </c>
      <c r="W117" s="388">
        <f t="shared" si="29"/>
        <v>15239</v>
      </c>
      <c r="X117" s="222">
        <f t="shared" si="20"/>
        <v>0.78897882033635436</v>
      </c>
      <c r="Y117" s="421">
        <f t="shared" si="28"/>
        <v>0.76010218919676087</v>
      </c>
      <c r="Z117" s="223">
        <f t="shared" si="21"/>
        <v>0.86175109059619259</v>
      </c>
      <c r="AA117" s="224" t="str">
        <f t="shared" si="30"/>
        <v>FL-No</v>
      </c>
      <c r="AB117" s="225" t="str">
        <f t="shared" si="23"/>
        <v>FL-Dem</v>
      </c>
      <c r="AC117" s="422" t="str">
        <f>C117&amp;"-"&amp;IF(Y117&gt;Instructions!$H$14,Instructions!$I$14,IF(Y117&gt;Instructions!$H$15,Instructions!$I$15,IF(Y117&gt;Instructions!$H$16,Instructions!$I$16,IF(Y117&gt;Instructions!$H$17,Instructions!$I$17,Instructions!$I$18))))</f>
        <v>FL-No contest</v>
      </c>
      <c r="AD117" s="226">
        <f t="shared" si="24"/>
        <v>0</v>
      </c>
      <c r="AE117" s="226">
        <f t="shared" si="25"/>
        <v>15239</v>
      </c>
      <c r="AF117" s="227">
        <f t="shared" si="26"/>
        <v>5487</v>
      </c>
      <c r="AG117" s="341">
        <f t="shared" si="27"/>
        <v>20726</v>
      </c>
      <c r="AH117" s="413">
        <f>SUM(AG93:AG117)</f>
        <v>1733410</v>
      </c>
    </row>
    <row r="118" spans="1:34">
      <c r="A118" s="352" t="s">
        <v>72</v>
      </c>
      <c r="B118" s="427">
        <v>25</v>
      </c>
      <c r="C118" s="220" t="s">
        <v>8</v>
      </c>
      <c r="D118" s="379" t="s">
        <v>755</v>
      </c>
      <c r="E118"/>
      <c r="F118"/>
      <c r="G118" t="s">
        <v>347</v>
      </c>
      <c r="H118"/>
      <c r="I118"/>
      <c r="J118" t="str">
        <f t="shared" si="16"/>
        <v>FL-Yes</v>
      </c>
      <c r="K118" t="str">
        <f t="shared" si="17"/>
        <v>FL-Yes</v>
      </c>
      <c r="L118" s="415"/>
      <c r="M118" s="415"/>
      <c r="N118" s="255">
        <v>2010</v>
      </c>
      <c r="O118" s="416">
        <v>0</v>
      </c>
      <c r="P118" s="416"/>
      <c r="Q118" s="416">
        <v>1</v>
      </c>
      <c r="R118" s="416"/>
      <c r="S118" s="416">
        <v>0</v>
      </c>
      <c r="T118" s="353">
        <f t="shared" si="18"/>
        <v>1</v>
      </c>
      <c r="U118" s="228"/>
      <c r="V118" s="221">
        <f t="shared" si="19"/>
        <v>1</v>
      </c>
      <c r="W118" s="388">
        <f t="shared" si="29"/>
        <v>0</v>
      </c>
      <c r="X118" s="222">
        <f t="shared" si="20"/>
        <v>1</v>
      </c>
      <c r="Y118" s="421">
        <f t="shared" si="28"/>
        <v>1</v>
      </c>
      <c r="Z118" s="223">
        <f t="shared" si="21"/>
        <v>1</v>
      </c>
      <c r="AA118" s="224" t="str">
        <f t="shared" si="30"/>
        <v>FL-Yes</v>
      </c>
      <c r="AB118" s="225" t="str">
        <f t="shared" si="23"/>
        <v>FL-Rep</v>
      </c>
      <c r="AC118" s="422" t="str">
        <f>C118&amp;"-"&amp;IF(Y118&gt;Instructions!$H$14,Instructions!$I$14,IF(Y118&gt;Instructions!$H$15,Instructions!$I$15,IF(Y118&gt;Instructions!$H$16,Instructions!$I$16,IF(Y118&gt;Instructions!$H$17,Instructions!$I$17,Instructions!$I$18))))</f>
        <v>FL-No contest</v>
      </c>
      <c r="AD118" s="226">
        <f t="shared" si="24"/>
        <v>0</v>
      </c>
      <c r="AE118" s="226">
        <f t="shared" si="25"/>
        <v>0</v>
      </c>
      <c r="AF118" s="227">
        <f t="shared" si="26"/>
        <v>0</v>
      </c>
      <c r="AG118" s="341">
        <f t="shared" si="27"/>
        <v>0</v>
      </c>
    </row>
    <row r="119" spans="1:34">
      <c r="A119" s="352" t="s">
        <v>72</v>
      </c>
      <c r="B119" s="427">
        <v>26</v>
      </c>
      <c r="C119" s="220" t="s">
        <v>8</v>
      </c>
      <c r="D119" s="379" t="s">
        <v>776</v>
      </c>
      <c r="E119"/>
      <c r="F119"/>
      <c r="G119" t="s">
        <v>347</v>
      </c>
      <c r="H119"/>
      <c r="I119"/>
      <c r="J119" t="str">
        <f t="shared" si="16"/>
        <v>FL-Yes</v>
      </c>
      <c r="K119" t="str">
        <f t="shared" si="17"/>
        <v>FL-No</v>
      </c>
      <c r="L119" s="417">
        <v>1</v>
      </c>
      <c r="M119" s="417">
        <v>1</v>
      </c>
      <c r="N119" s="255">
        <v>2014</v>
      </c>
      <c r="O119" s="416">
        <v>78306</v>
      </c>
      <c r="P119" s="416"/>
      <c r="Q119" s="416">
        <v>83031</v>
      </c>
      <c r="R119" s="416"/>
      <c r="S119" s="416">
        <v>0</v>
      </c>
      <c r="T119" s="353">
        <f t="shared" si="18"/>
        <v>161337</v>
      </c>
      <c r="U119" s="228"/>
      <c r="V119" s="221">
        <f t="shared" si="19"/>
        <v>83031</v>
      </c>
      <c r="W119" s="388">
        <f t="shared" si="29"/>
        <v>78306</v>
      </c>
      <c r="X119" s="222">
        <f t="shared" si="20"/>
        <v>2.9286524479815543E-2</v>
      </c>
      <c r="Y119" s="421">
        <f t="shared" si="28"/>
        <v>2.9286524479815501E-2</v>
      </c>
      <c r="Z119" s="223">
        <f t="shared" si="21"/>
        <v>0.51464326223990775</v>
      </c>
      <c r="AA119" s="224" t="str">
        <f t="shared" si="30"/>
        <v>FL-No</v>
      </c>
      <c r="AB119" s="225" t="str">
        <f t="shared" si="23"/>
        <v>FL-Rep</v>
      </c>
      <c r="AC119" s="422" t="str">
        <f>C119&amp;"-"&amp;IF(Y119&gt;Instructions!$H$14,Instructions!$I$14,IF(Y119&gt;Instructions!$H$15,Instructions!$I$15,IF(Y119&gt;Instructions!$H$16,Instructions!$I$16,IF(Y119&gt;Instructions!$H$17,Instructions!$I$17,Instructions!$I$18))))</f>
        <v>FL-Tight</v>
      </c>
      <c r="AD119" s="226">
        <f t="shared" si="24"/>
        <v>78306</v>
      </c>
      <c r="AE119" s="226">
        <f t="shared" si="25"/>
        <v>0</v>
      </c>
      <c r="AF119" s="227">
        <f t="shared" si="26"/>
        <v>0</v>
      </c>
      <c r="AG119" s="341">
        <f t="shared" si="27"/>
        <v>78306</v>
      </c>
    </row>
    <row r="120" spans="1:34">
      <c r="A120" s="352" t="s">
        <v>72</v>
      </c>
      <c r="B120" s="427">
        <v>27</v>
      </c>
      <c r="C120" s="220" t="s">
        <v>8</v>
      </c>
      <c r="D120" s="379" t="s">
        <v>753</v>
      </c>
      <c r="E120" t="s">
        <v>347</v>
      </c>
      <c r="F120" s="379"/>
      <c r="G120" t="s">
        <v>347</v>
      </c>
      <c r="H120"/>
      <c r="I120"/>
      <c r="J120" t="str">
        <f t="shared" si="16"/>
        <v>FL-Yes</v>
      </c>
      <c r="K120" t="str">
        <f t="shared" si="17"/>
        <v>FL-Yes</v>
      </c>
      <c r="L120" s="415"/>
      <c r="M120" s="415"/>
      <c r="N120" s="255">
        <v>1989</v>
      </c>
      <c r="O120" s="416">
        <v>0</v>
      </c>
      <c r="P120" s="416"/>
      <c r="Q120" s="416">
        <v>1</v>
      </c>
      <c r="R120" s="416"/>
      <c r="S120" s="416">
        <v>0</v>
      </c>
      <c r="T120" s="353">
        <f t="shared" si="18"/>
        <v>1</v>
      </c>
      <c r="U120" s="228"/>
      <c r="V120" s="221">
        <f t="shared" si="19"/>
        <v>1</v>
      </c>
      <c r="W120" s="388">
        <f t="shared" si="29"/>
        <v>0</v>
      </c>
      <c r="X120" s="222">
        <f t="shared" si="20"/>
        <v>1</v>
      </c>
      <c r="Y120" s="421">
        <f t="shared" si="28"/>
        <v>1</v>
      </c>
      <c r="Z120" s="223">
        <f t="shared" si="21"/>
        <v>1</v>
      </c>
      <c r="AA120" s="224" t="str">
        <f t="shared" si="30"/>
        <v>FL-Yes</v>
      </c>
      <c r="AB120" s="225" t="str">
        <f t="shared" si="23"/>
        <v>FL-Rep</v>
      </c>
      <c r="AC120" s="422" t="str">
        <f>C120&amp;"-"&amp;IF(Y120&gt;Instructions!$H$14,Instructions!$I$14,IF(Y120&gt;Instructions!$H$15,Instructions!$I$15,IF(Y120&gt;Instructions!$H$16,Instructions!$I$16,IF(Y120&gt;Instructions!$H$17,Instructions!$I$17,Instructions!$I$18))))</f>
        <v>FL-No contest</v>
      </c>
      <c r="AD120" s="226">
        <f t="shared" si="24"/>
        <v>0</v>
      </c>
      <c r="AE120" s="226">
        <f t="shared" si="25"/>
        <v>0</v>
      </c>
      <c r="AF120" s="227">
        <f t="shared" si="26"/>
        <v>0</v>
      </c>
      <c r="AG120" s="341">
        <f t="shared" si="27"/>
        <v>0</v>
      </c>
    </row>
    <row r="121" spans="1:34">
      <c r="A121" s="352" t="s">
        <v>73</v>
      </c>
      <c r="B121" s="427">
        <v>1</v>
      </c>
      <c r="C121" s="220" t="s">
        <v>9</v>
      </c>
      <c r="D121" s="379" t="s">
        <v>777</v>
      </c>
      <c r="E121"/>
      <c r="F121" s="381"/>
      <c r="G121"/>
      <c r="H121"/>
      <c r="I121"/>
      <c r="J121" t="str">
        <f t="shared" si="16"/>
        <v>GA-No</v>
      </c>
      <c r="K121" t="str">
        <f t="shared" si="17"/>
        <v>GA-No</v>
      </c>
      <c r="L121" s="415">
        <v>0</v>
      </c>
      <c r="M121" s="415"/>
      <c r="N121" s="255">
        <v>2014</v>
      </c>
      <c r="O121" s="416">
        <v>61175</v>
      </c>
      <c r="P121" s="416"/>
      <c r="Q121" s="416">
        <v>95337</v>
      </c>
      <c r="R121" s="416"/>
      <c r="S121" s="416">
        <v>0</v>
      </c>
      <c r="T121" s="353">
        <f t="shared" si="18"/>
        <v>156512</v>
      </c>
      <c r="U121" s="396"/>
      <c r="V121" s="221">
        <f t="shared" si="19"/>
        <v>95337</v>
      </c>
      <c r="W121" s="388">
        <f t="shared" si="29"/>
        <v>61175</v>
      </c>
      <c r="X121" s="222">
        <f t="shared" si="20"/>
        <v>0.21827080351666325</v>
      </c>
      <c r="Y121" s="421">
        <f t="shared" si="28"/>
        <v>0.21827080351666323</v>
      </c>
      <c r="Z121" s="223">
        <f t="shared" si="21"/>
        <v>0.60913540175833158</v>
      </c>
      <c r="AA121" s="224" t="str">
        <f t="shared" si="30"/>
        <v>GA-No</v>
      </c>
      <c r="AB121" s="225" t="str">
        <f t="shared" si="23"/>
        <v>GA-Rep</v>
      </c>
      <c r="AC121" s="422" t="str">
        <f>C121&amp;"-"&amp;IF(Y121&gt;Instructions!$H$14,Instructions!$I$14,IF(Y121&gt;Instructions!$H$15,Instructions!$I$15,IF(Y121&gt;Instructions!$H$16,Instructions!$I$16,IF(Y121&gt;Instructions!$H$17,Instructions!$I$17,Instructions!$I$18))))</f>
        <v>GA-Landslide</v>
      </c>
      <c r="AD121" s="226">
        <f t="shared" si="24"/>
        <v>61175</v>
      </c>
      <c r="AE121" s="226">
        <f t="shared" si="25"/>
        <v>0</v>
      </c>
      <c r="AF121" s="227">
        <f t="shared" si="26"/>
        <v>0</v>
      </c>
      <c r="AG121" s="341">
        <f t="shared" si="27"/>
        <v>61175</v>
      </c>
    </row>
    <row r="122" spans="1:34">
      <c r="A122" s="352" t="s">
        <v>73</v>
      </c>
      <c r="B122" s="427">
        <v>2</v>
      </c>
      <c r="C122" s="220" t="s">
        <v>9</v>
      </c>
      <c r="D122" s="379" t="s">
        <v>482</v>
      </c>
      <c r="E122"/>
      <c r="F122" s="379" t="s">
        <v>348</v>
      </c>
      <c r="G122"/>
      <c r="H122"/>
      <c r="I122"/>
      <c r="J122" t="str">
        <f t="shared" si="16"/>
        <v>GA-Yes</v>
      </c>
      <c r="K122" t="str">
        <f t="shared" si="17"/>
        <v>GA-Yes</v>
      </c>
      <c r="L122" s="417"/>
      <c r="M122" s="417"/>
      <c r="N122" s="255">
        <v>1992</v>
      </c>
      <c r="O122" s="416">
        <v>96363</v>
      </c>
      <c r="P122" s="416"/>
      <c r="Q122" s="416">
        <v>66537</v>
      </c>
      <c r="R122" s="416"/>
      <c r="S122" s="416">
        <v>0</v>
      </c>
      <c r="T122" s="353">
        <f t="shared" si="18"/>
        <v>162900</v>
      </c>
      <c r="U122" s="396"/>
      <c r="V122" s="221">
        <f t="shared" si="19"/>
        <v>96363</v>
      </c>
      <c r="W122" s="388">
        <f t="shared" si="29"/>
        <v>66537</v>
      </c>
      <c r="X122" s="222">
        <f t="shared" si="20"/>
        <v>0.18309392265193369</v>
      </c>
      <c r="Y122" s="421">
        <f t="shared" si="28"/>
        <v>0.18309392265193369</v>
      </c>
      <c r="Z122" s="223">
        <f t="shared" si="21"/>
        <v>0.59154696132596685</v>
      </c>
      <c r="AA122" s="224" t="str">
        <f t="shared" si="30"/>
        <v>GA-No</v>
      </c>
      <c r="AB122" s="225" t="str">
        <f t="shared" si="23"/>
        <v>GA-Dem</v>
      </c>
      <c r="AC122" s="422" t="str">
        <f>C122&amp;"-"&amp;IF(Y122&gt;Instructions!$H$14,Instructions!$I$14,IF(Y122&gt;Instructions!$H$15,Instructions!$I$15,IF(Y122&gt;Instructions!$H$16,Instructions!$I$16,IF(Y122&gt;Instructions!$H$17,Instructions!$I$17,Instructions!$I$18))))</f>
        <v>GA-Opportunity</v>
      </c>
      <c r="AD122" s="226">
        <f t="shared" si="24"/>
        <v>0</v>
      </c>
      <c r="AE122" s="226">
        <f t="shared" si="25"/>
        <v>66537</v>
      </c>
      <c r="AF122" s="227">
        <f t="shared" si="26"/>
        <v>0</v>
      </c>
      <c r="AG122" s="341">
        <f t="shared" si="27"/>
        <v>66537</v>
      </c>
    </row>
    <row r="123" spans="1:34">
      <c r="A123" s="352" t="s">
        <v>73</v>
      </c>
      <c r="B123" s="427">
        <v>3</v>
      </c>
      <c r="C123" s="220" t="s">
        <v>9</v>
      </c>
      <c r="D123" s="379" t="s">
        <v>483</v>
      </c>
      <c r="E123"/>
      <c r="F123" s="379"/>
      <c r="G123"/>
      <c r="H123"/>
      <c r="I123"/>
      <c r="J123" t="str">
        <f t="shared" si="16"/>
        <v>GA-Yes</v>
      </c>
      <c r="K123" t="str">
        <f t="shared" si="17"/>
        <v>GA-Yes</v>
      </c>
      <c r="L123" s="415"/>
      <c r="M123" s="415"/>
      <c r="N123" s="255">
        <v>2004</v>
      </c>
      <c r="O123" s="416">
        <v>0</v>
      </c>
      <c r="P123" s="416"/>
      <c r="Q123" s="416">
        <v>156277</v>
      </c>
      <c r="R123" s="416"/>
      <c r="S123" s="416">
        <v>0</v>
      </c>
      <c r="T123" s="353">
        <f t="shared" si="18"/>
        <v>156277</v>
      </c>
      <c r="U123" s="228"/>
      <c r="V123" s="221">
        <f t="shared" si="19"/>
        <v>156277</v>
      </c>
      <c r="W123" s="388">
        <f t="shared" si="29"/>
        <v>0</v>
      </c>
      <c r="X123" s="222">
        <f t="shared" si="20"/>
        <v>1</v>
      </c>
      <c r="Y123" s="421">
        <f t="shared" si="28"/>
        <v>1</v>
      </c>
      <c r="Z123" s="223">
        <f t="shared" si="21"/>
        <v>1</v>
      </c>
      <c r="AA123" s="224" t="str">
        <f t="shared" si="30"/>
        <v>GA-Yes</v>
      </c>
      <c r="AB123" s="225" t="str">
        <f t="shared" si="23"/>
        <v>GA-Rep</v>
      </c>
      <c r="AC123" s="422" t="str">
        <f>C123&amp;"-"&amp;IF(Y123&gt;Instructions!$H$14,Instructions!$I$14,IF(Y123&gt;Instructions!$H$15,Instructions!$I$15,IF(Y123&gt;Instructions!$H$16,Instructions!$I$16,IF(Y123&gt;Instructions!$H$17,Instructions!$I$17,Instructions!$I$18))))</f>
        <v>GA-No contest</v>
      </c>
      <c r="AD123" s="226">
        <f t="shared" si="24"/>
        <v>0</v>
      </c>
      <c r="AE123" s="226">
        <f t="shared" si="25"/>
        <v>0</v>
      </c>
      <c r="AF123" s="227">
        <f t="shared" si="26"/>
        <v>0</v>
      </c>
      <c r="AG123" s="341">
        <f t="shared" si="27"/>
        <v>0</v>
      </c>
    </row>
    <row r="124" spans="1:34">
      <c r="A124" s="352" t="s">
        <v>73</v>
      </c>
      <c r="B124" s="427">
        <v>4</v>
      </c>
      <c r="C124" s="220" t="s">
        <v>9</v>
      </c>
      <c r="D124" s="379" t="s">
        <v>484</v>
      </c>
      <c r="E124"/>
      <c r="F124" t="s">
        <v>348</v>
      </c>
      <c r="G124"/>
      <c r="H124"/>
      <c r="I124"/>
      <c r="J124" t="str">
        <f t="shared" si="16"/>
        <v>GA-Yes</v>
      </c>
      <c r="K124" t="str">
        <f t="shared" si="17"/>
        <v>GA-Yes</v>
      </c>
      <c r="L124" s="417"/>
      <c r="M124" s="417"/>
      <c r="N124" s="255">
        <v>2006</v>
      </c>
      <c r="O124" s="416">
        <v>161211</v>
      </c>
      <c r="P124" s="416"/>
      <c r="Q124" s="416">
        <v>0</v>
      </c>
      <c r="R124" s="416"/>
      <c r="S124" s="416">
        <v>0</v>
      </c>
      <c r="T124" s="353">
        <f t="shared" si="18"/>
        <v>161211</v>
      </c>
      <c r="U124" s="228"/>
      <c r="V124" s="221">
        <f t="shared" si="19"/>
        <v>161211</v>
      </c>
      <c r="W124" s="388">
        <f t="shared" si="29"/>
        <v>0</v>
      </c>
      <c r="X124" s="222">
        <f t="shared" si="20"/>
        <v>1</v>
      </c>
      <c r="Y124" s="421">
        <f t="shared" si="28"/>
        <v>1</v>
      </c>
      <c r="Z124" s="223">
        <f t="shared" si="21"/>
        <v>1</v>
      </c>
      <c r="AA124" s="224" t="str">
        <f t="shared" si="30"/>
        <v>GA-Yes</v>
      </c>
      <c r="AB124" s="225" t="str">
        <f t="shared" si="23"/>
        <v>GA-Dem</v>
      </c>
      <c r="AC124" s="422" t="str">
        <f>C124&amp;"-"&amp;IF(Y124&gt;Instructions!$H$14,Instructions!$I$14,IF(Y124&gt;Instructions!$H$15,Instructions!$I$15,IF(Y124&gt;Instructions!$H$16,Instructions!$I$16,IF(Y124&gt;Instructions!$H$17,Instructions!$I$17,Instructions!$I$18))))</f>
        <v>GA-No contest</v>
      </c>
      <c r="AD124" s="226">
        <f t="shared" si="24"/>
        <v>0</v>
      </c>
      <c r="AE124" s="226">
        <f t="shared" si="25"/>
        <v>0</v>
      </c>
      <c r="AF124" s="227">
        <f t="shared" si="26"/>
        <v>0</v>
      </c>
      <c r="AG124" s="341">
        <f t="shared" si="27"/>
        <v>0</v>
      </c>
    </row>
    <row r="125" spans="1:34">
      <c r="A125" s="352" t="s">
        <v>73</v>
      </c>
      <c r="B125" s="427">
        <v>5</v>
      </c>
      <c r="C125" s="220" t="s">
        <v>9</v>
      </c>
      <c r="D125" s="379" t="s">
        <v>485</v>
      </c>
      <c r="E125"/>
      <c r="F125" t="s">
        <v>348</v>
      </c>
      <c r="G125" s="379"/>
      <c r="H125"/>
      <c r="I125"/>
      <c r="J125" t="str">
        <f t="shared" si="16"/>
        <v>GA-Yes</v>
      </c>
      <c r="K125" t="str">
        <f t="shared" si="17"/>
        <v>GA-Yes</v>
      </c>
      <c r="L125" s="417"/>
      <c r="M125" s="417"/>
      <c r="N125" s="255">
        <v>1986</v>
      </c>
      <c r="O125" s="416">
        <v>170326</v>
      </c>
      <c r="P125" s="416"/>
      <c r="Q125" s="416">
        <v>0</v>
      </c>
      <c r="R125" s="416"/>
      <c r="S125" s="416">
        <v>0</v>
      </c>
      <c r="T125" s="353">
        <f t="shared" si="18"/>
        <v>170326</v>
      </c>
      <c r="U125" s="228"/>
      <c r="V125" s="221">
        <f t="shared" si="19"/>
        <v>170326</v>
      </c>
      <c r="W125" s="388">
        <f t="shared" si="29"/>
        <v>0</v>
      </c>
      <c r="X125" s="222">
        <f t="shared" si="20"/>
        <v>1</v>
      </c>
      <c r="Y125" s="421">
        <f t="shared" si="28"/>
        <v>1</v>
      </c>
      <c r="Z125" s="390">
        <f t="shared" si="21"/>
        <v>1</v>
      </c>
      <c r="AA125" s="391" t="str">
        <f t="shared" si="30"/>
        <v>GA-Yes</v>
      </c>
      <c r="AB125" s="225" t="str">
        <f t="shared" si="23"/>
        <v>GA-Dem</v>
      </c>
      <c r="AC125" s="422" t="str">
        <f>C125&amp;"-"&amp;IF(Y125&gt;Instructions!$H$14,Instructions!$I$14,IF(Y125&gt;Instructions!$H$15,Instructions!$I$15,IF(Y125&gt;Instructions!$H$16,Instructions!$I$16,IF(Y125&gt;Instructions!$H$17,Instructions!$I$17,Instructions!$I$18))))</f>
        <v>GA-No contest</v>
      </c>
      <c r="AD125" s="226">
        <f t="shared" si="24"/>
        <v>0</v>
      </c>
      <c r="AE125" s="226">
        <f t="shared" si="25"/>
        <v>0</v>
      </c>
      <c r="AF125" s="227">
        <f t="shared" si="26"/>
        <v>0</v>
      </c>
      <c r="AG125" s="341">
        <f t="shared" si="27"/>
        <v>0</v>
      </c>
    </row>
    <row r="126" spans="1:34">
      <c r="A126" s="352" t="s">
        <v>73</v>
      </c>
      <c r="B126" s="427">
        <v>6</v>
      </c>
      <c r="C126" s="220" t="s">
        <v>9</v>
      </c>
      <c r="D126" s="379" t="s">
        <v>486</v>
      </c>
      <c r="E126" s="379"/>
      <c r="F126"/>
      <c r="G126" s="379"/>
      <c r="H126"/>
      <c r="I126"/>
      <c r="J126" t="str">
        <f t="shared" si="16"/>
        <v>GA-Yes</v>
      </c>
      <c r="K126" t="str">
        <f t="shared" si="17"/>
        <v>GA-Yes</v>
      </c>
      <c r="L126" s="415"/>
      <c r="M126" s="415"/>
      <c r="N126" s="255">
        <v>2004</v>
      </c>
      <c r="O126" s="416">
        <v>71486</v>
      </c>
      <c r="P126" s="416"/>
      <c r="Q126" s="416">
        <v>139018</v>
      </c>
      <c r="R126" s="416"/>
      <c r="S126" s="416">
        <v>0</v>
      </c>
      <c r="T126" s="353">
        <f t="shared" si="18"/>
        <v>210504</v>
      </c>
      <c r="U126" s="228"/>
      <c r="V126" s="221">
        <f t="shared" si="19"/>
        <v>139018</v>
      </c>
      <c r="W126" s="388">
        <f t="shared" si="29"/>
        <v>71486</v>
      </c>
      <c r="X126" s="222">
        <f t="shared" si="20"/>
        <v>0.32081100596663248</v>
      </c>
      <c r="Y126" s="421">
        <f t="shared" si="28"/>
        <v>0.32081100596663248</v>
      </c>
      <c r="Z126" s="390">
        <f t="shared" si="21"/>
        <v>0.66040550298331624</v>
      </c>
      <c r="AA126" s="391" t="str">
        <f t="shared" si="30"/>
        <v>GA-No</v>
      </c>
      <c r="AB126" s="225" t="str">
        <f t="shared" si="23"/>
        <v>GA-Rep</v>
      </c>
      <c r="AC126" s="422" t="str">
        <f>C126&amp;"-"&amp;IF(Y126&gt;Instructions!$H$14,Instructions!$I$14,IF(Y126&gt;Instructions!$H$15,Instructions!$I$15,IF(Y126&gt;Instructions!$H$16,Instructions!$I$16,IF(Y126&gt;Instructions!$H$17,Instructions!$I$17,Instructions!$I$18))))</f>
        <v>GA-Landslide</v>
      </c>
      <c r="AD126" s="226">
        <f t="shared" si="24"/>
        <v>71486</v>
      </c>
      <c r="AE126" s="226">
        <f t="shared" si="25"/>
        <v>0</v>
      </c>
      <c r="AF126" s="227">
        <f t="shared" si="26"/>
        <v>0</v>
      </c>
      <c r="AG126" s="341">
        <f t="shared" si="27"/>
        <v>71486</v>
      </c>
    </row>
    <row r="127" spans="1:34">
      <c r="A127" s="352" t="s">
        <v>73</v>
      </c>
      <c r="B127" s="427">
        <v>7</v>
      </c>
      <c r="C127" s="220" t="s">
        <v>9</v>
      </c>
      <c r="D127" s="379" t="s">
        <v>487</v>
      </c>
      <c r="E127" s="379"/>
      <c r="F127"/>
      <c r="G127"/>
      <c r="H127"/>
      <c r="I127"/>
      <c r="J127" t="str">
        <f t="shared" si="16"/>
        <v>GA-Yes</v>
      </c>
      <c r="K127" t="str">
        <f t="shared" si="17"/>
        <v>GA-Yes</v>
      </c>
      <c r="L127" s="415"/>
      <c r="M127" s="415"/>
      <c r="N127" s="255">
        <v>2010</v>
      </c>
      <c r="O127" s="416">
        <v>60112</v>
      </c>
      <c r="P127" s="416"/>
      <c r="Q127" s="416">
        <v>113557</v>
      </c>
      <c r="R127" s="416"/>
      <c r="S127" s="416">
        <v>0</v>
      </c>
      <c r="T127" s="353">
        <f t="shared" si="18"/>
        <v>173669</v>
      </c>
      <c r="U127" s="228"/>
      <c r="V127" s="221">
        <f t="shared" si="19"/>
        <v>113557</v>
      </c>
      <c r="W127" s="388">
        <f t="shared" si="29"/>
        <v>60112</v>
      </c>
      <c r="X127" s="222">
        <f t="shared" si="20"/>
        <v>0.30774058697867784</v>
      </c>
      <c r="Y127" s="421">
        <f t="shared" si="28"/>
        <v>0.30774058697867779</v>
      </c>
      <c r="Z127" s="223">
        <f t="shared" si="21"/>
        <v>0.65387029348933889</v>
      </c>
      <c r="AA127" s="224" t="str">
        <f t="shared" si="30"/>
        <v>GA-No</v>
      </c>
      <c r="AB127" s="225" t="str">
        <f t="shared" si="23"/>
        <v>GA-Rep</v>
      </c>
      <c r="AC127" s="422" t="str">
        <f>C127&amp;"-"&amp;IF(Y127&gt;Instructions!$H$14,Instructions!$I$14,IF(Y127&gt;Instructions!$H$15,Instructions!$I$15,IF(Y127&gt;Instructions!$H$16,Instructions!$I$16,IF(Y127&gt;Instructions!$H$17,Instructions!$I$17,Instructions!$I$18))))</f>
        <v>GA-Landslide</v>
      </c>
      <c r="AD127" s="226">
        <f t="shared" si="24"/>
        <v>60112</v>
      </c>
      <c r="AE127" s="226">
        <f t="shared" si="25"/>
        <v>0</v>
      </c>
      <c r="AF127" s="227">
        <f t="shared" si="26"/>
        <v>0</v>
      </c>
      <c r="AG127" s="341">
        <f t="shared" si="27"/>
        <v>60112</v>
      </c>
    </row>
    <row r="128" spans="1:34">
      <c r="A128" s="352" t="s">
        <v>73</v>
      </c>
      <c r="B128" s="427">
        <v>8</v>
      </c>
      <c r="C128" s="220" t="s">
        <v>9</v>
      </c>
      <c r="D128" s="379" t="s">
        <v>488</v>
      </c>
      <c r="E128"/>
      <c r="F128"/>
      <c r="G128"/>
      <c r="H128"/>
      <c r="I128"/>
      <c r="J128" t="str">
        <f t="shared" si="16"/>
        <v>GA-Yes</v>
      </c>
      <c r="K128" t="str">
        <f t="shared" si="17"/>
        <v>GA-Yes</v>
      </c>
      <c r="L128" s="415"/>
      <c r="M128" s="415"/>
      <c r="N128" s="255">
        <v>2010</v>
      </c>
      <c r="O128" s="416">
        <v>0</v>
      </c>
      <c r="P128" s="416"/>
      <c r="Q128" s="416">
        <v>129938</v>
      </c>
      <c r="R128" s="416"/>
      <c r="S128" s="416">
        <v>0</v>
      </c>
      <c r="T128" s="353">
        <f t="shared" si="18"/>
        <v>129938</v>
      </c>
      <c r="U128" s="228"/>
      <c r="V128" s="221">
        <f t="shared" si="19"/>
        <v>129938</v>
      </c>
      <c r="W128" s="388">
        <f t="shared" si="29"/>
        <v>0</v>
      </c>
      <c r="X128" s="222">
        <f t="shared" si="20"/>
        <v>1</v>
      </c>
      <c r="Y128" s="421">
        <f t="shared" si="28"/>
        <v>1</v>
      </c>
      <c r="Z128" s="223">
        <f t="shared" si="21"/>
        <v>1</v>
      </c>
      <c r="AA128" s="224" t="str">
        <f t="shared" si="30"/>
        <v>GA-Yes</v>
      </c>
      <c r="AB128" s="225" t="str">
        <f t="shared" si="23"/>
        <v>GA-Rep</v>
      </c>
      <c r="AC128" s="422" t="str">
        <f>C128&amp;"-"&amp;IF(Y128&gt;Instructions!$H$14,Instructions!$I$14,IF(Y128&gt;Instructions!$H$15,Instructions!$I$15,IF(Y128&gt;Instructions!$H$16,Instructions!$I$16,IF(Y128&gt;Instructions!$H$17,Instructions!$I$17,Instructions!$I$18))))</f>
        <v>GA-No contest</v>
      </c>
      <c r="AD128" s="226">
        <f t="shared" si="24"/>
        <v>0</v>
      </c>
      <c r="AE128" s="226">
        <f t="shared" si="25"/>
        <v>0</v>
      </c>
      <c r="AF128" s="227">
        <f t="shared" si="26"/>
        <v>0</v>
      </c>
      <c r="AG128" s="341">
        <f t="shared" si="27"/>
        <v>0</v>
      </c>
    </row>
    <row r="129" spans="1:34" ht="13.5" customHeight="1">
      <c r="A129" s="352" t="s">
        <v>73</v>
      </c>
      <c r="B129" s="427">
        <v>9</v>
      </c>
      <c r="C129" s="220" t="s">
        <v>9</v>
      </c>
      <c r="D129" s="379" t="s">
        <v>489</v>
      </c>
      <c r="E129" s="379"/>
      <c r="F129"/>
      <c r="G129" s="379"/>
      <c r="H129"/>
      <c r="I129"/>
      <c r="J129" t="str">
        <f t="shared" si="16"/>
        <v>GA-Yes</v>
      </c>
      <c r="K129" t="str">
        <f t="shared" si="17"/>
        <v>GA-Yes</v>
      </c>
      <c r="L129" s="415"/>
      <c r="M129" s="415"/>
      <c r="N129" s="255">
        <v>2012</v>
      </c>
      <c r="O129" s="416">
        <v>34988</v>
      </c>
      <c r="P129" s="416"/>
      <c r="Q129" s="416">
        <v>146059</v>
      </c>
      <c r="R129" s="416"/>
      <c r="S129" s="416">
        <v>0</v>
      </c>
      <c r="T129" s="353">
        <f t="shared" si="18"/>
        <v>181047</v>
      </c>
      <c r="U129" s="228"/>
      <c r="V129" s="221">
        <f t="shared" si="19"/>
        <v>146059</v>
      </c>
      <c r="W129" s="388">
        <f t="shared" si="29"/>
        <v>34988</v>
      </c>
      <c r="X129" s="222">
        <f t="shared" si="20"/>
        <v>0.61349262898584345</v>
      </c>
      <c r="Y129" s="421">
        <f t="shared" si="28"/>
        <v>0.61349262898584356</v>
      </c>
      <c r="Z129" s="223">
        <f t="shared" si="21"/>
        <v>0.80674631449292178</v>
      </c>
      <c r="AA129" s="224" t="str">
        <f t="shared" si="30"/>
        <v>GA-No</v>
      </c>
      <c r="AB129" s="225" t="str">
        <f t="shared" si="23"/>
        <v>GA-Rep</v>
      </c>
      <c r="AC129" s="422" t="str">
        <f>C129&amp;"-"&amp;IF(Y129&gt;Instructions!$H$14,Instructions!$I$14,IF(Y129&gt;Instructions!$H$15,Instructions!$I$15,IF(Y129&gt;Instructions!$H$16,Instructions!$I$16,IF(Y129&gt;Instructions!$H$17,Instructions!$I$17,Instructions!$I$18))))</f>
        <v>GA-No contest</v>
      </c>
      <c r="AD129" s="226">
        <f t="shared" si="24"/>
        <v>34988</v>
      </c>
      <c r="AE129" s="226">
        <f t="shared" si="25"/>
        <v>0</v>
      </c>
      <c r="AF129" s="227">
        <f t="shared" si="26"/>
        <v>0</v>
      </c>
      <c r="AG129" s="341">
        <f t="shared" si="27"/>
        <v>34988</v>
      </c>
    </row>
    <row r="130" spans="1:34">
      <c r="A130" s="415" t="s">
        <v>73</v>
      </c>
      <c r="B130" s="427">
        <v>10</v>
      </c>
      <c r="C130" s="384" t="s">
        <v>9</v>
      </c>
      <c r="D130" s="379" t="s">
        <v>778</v>
      </c>
      <c r="E130" s="379"/>
      <c r="F130" s="381"/>
      <c r="G130" s="379"/>
      <c r="H130" s="379"/>
      <c r="I130" s="379"/>
      <c r="J130" s="379" t="str">
        <f t="shared" si="16"/>
        <v>GA-No</v>
      </c>
      <c r="K130" s="379" t="str">
        <f t="shared" si="17"/>
        <v>GA-No</v>
      </c>
      <c r="L130" s="415">
        <v>0</v>
      </c>
      <c r="M130" s="415"/>
      <c r="N130" s="412">
        <v>2014</v>
      </c>
      <c r="O130" s="416">
        <v>65777</v>
      </c>
      <c r="P130" s="416"/>
      <c r="Q130" s="416">
        <v>130703</v>
      </c>
      <c r="R130" s="416"/>
      <c r="S130" s="416">
        <v>0</v>
      </c>
      <c r="T130" s="353">
        <f t="shared" si="18"/>
        <v>196480</v>
      </c>
      <c r="U130" s="396"/>
      <c r="V130" s="388">
        <f t="shared" si="19"/>
        <v>130703</v>
      </c>
      <c r="W130" s="388">
        <f t="shared" si="29"/>
        <v>65777</v>
      </c>
      <c r="X130" s="389">
        <f t="shared" si="20"/>
        <v>0.33044584690553747</v>
      </c>
      <c r="Y130" s="421">
        <f t="shared" si="28"/>
        <v>0.33044584690553741</v>
      </c>
      <c r="Z130" s="390">
        <f t="shared" si="21"/>
        <v>0.66522292345276868</v>
      </c>
      <c r="AA130" s="391" t="str">
        <f t="shared" si="30"/>
        <v>GA-No</v>
      </c>
      <c r="AB130" s="392" t="str">
        <f t="shared" si="23"/>
        <v>GA-Rep</v>
      </c>
      <c r="AC130" s="422" t="str">
        <f>C130&amp;"-"&amp;IF(Y130&gt;Instructions!$H$14,Instructions!$I$14,IF(Y130&gt;Instructions!$H$15,Instructions!$I$15,IF(Y130&gt;Instructions!$H$16,Instructions!$I$16,IF(Y130&gt;Instructions!$H$17,Instructions!$I$17,Instructions!$I$18))))</f>
        <v>GA-Landslide</v>
      </c>
      <c r="AD130" s="394">
        <f t="shared" si="24"/>
        <v>65777</v>
      </c>
      <c r="AE130" s="394">
        <f t="shared" si="25"/>
        <v>0</v>
      </c>
      <c r="AF130" s="395">
        <f t="shared" si="26"/>
        <v>0</v>
      </c>
      <c r="AG130" s="413">
        <f t="shared" si="27"/>
        <v>65777</v>
      </c>
      <c r="AH130" s="413">
        <f>SUM(AG118:AG130)</f>
        <v>438381</v>
      </c>
    </row>
    <row r="131" spans="1:34">
      <c r="A131" s="352" t="s">
        <v>73</v>
      </c>
      <c r="B131" s="427">
        <v>11</v>
      </c>
      <c r="C131" s="220" t="s">
        <v>9</v>
      </c>
      <c r="D131" s="379" t="s">
        <v>779</v>
      </c>
      <c r="E131" s="381"/>
      <c r="F131" s="379"/>
      <c r="G131"/>
      <c r="H131" s="381"/>
      <c r="I131"/>
      <c r="J131" t="str">
        <f t="shared" si="16"/>
        <v>GA-No</v>
      </c>
      <c r="K131" t="str">
        <f t="shared" si="17"/>
        <v>GA-No</v>
      </c>
      <c r="L131" s="415">
        <v>0</v>
      </c>
      <c r="M131" s="415"/>
      <c r="N131" s="255">
        <v>2014</v>
      </c>
      <c r="O131" s="416">
        <v>0</v>
      </c>
      <c r="P131" s="416"/>
      <c r="Q131" s="416">
        <v>161532</v>
      </c>
      <c r="R131" s="416"/>
      <c r="S131" s="416">
        <v>0</v>
      </c>
      <c r="T131" s="353">
        <f t="shared" si="18"/>
        <v>161532</v>
      </c>
      <c r="U131" s="228"/>
      <c r="V131" s="221">
        <f t="shared" si="19"/>
        <v>161532</v>
      </c>
      <c r="W131" s="388">
        <f t="shared" si="29"/>
        <v>0</v>
      </c>
      <c r="X131" s="222">
        <f t="shared" si="20"/>
        <v>1</v>
      </c>
      <c r="Y131" s="421">
        <f t="shared" si="28"/>
        <v>1</v>
      </c>
      <c r="Z131" s="223">
        <f t="shared" si="21"/>
        <v>1</v>
      </c>
      <c r="AA131" s="224" t="str">
        <f t="shared" si="30"/>
        <v>GA-Yes</v>
      </c>
      <c r="AB131" s="225" t="str">
        <f t="shared" si="23"/>
        <v>GA-Rep</v>
      </c>
      <c r="AC131" s="422" t="str">
        <f>C131&amp;"-"&amp;IF(Y131&gt;Instructions!$H$14,Instructions!$I$14,IF(Y131&gt;Instructions!$H$15,Instructions!$I$15,IF(Y131&gt;Instructions!$H$16,Instructions!$I$16,IF(Y131&gt;Instructions!$H$17,Instructions!$I$17,Instructions!$I$18))))</f>
        <v>GA-No contest</v>
      </c>
      <c r="AD131" s="226">
        <f t="shared" si="24"/>
        <v>0</v>
      </c>
      <c r="AE131" s="226">
        <f t="shared" si="25"/>
        <v>0</v>
      </c>
      <c r="AF131" s="227">
        <f t="shared" si="26"/>
        <v>0</v>
      </c>
      <c r="AG131" s="341">
        <f t="shared" si="27"/>
        <v>0</v>
      </c>
    </row>
    <row r="132" spans="1:34">
      <c r="A132" s="352" t="s">
        <v>73</v>
      </c>
      <c r="B132" s="427">
        <v>12</v>
      </c>
      <c r="C132" s="220" t="s">
        <v>9</v>
      </c>
      <c r="D132" s="379" t="s">
        <v>780</v>
      </c>
      <c r="E132" s="381"/>
      <c r="F132" s="379"/>
      <c r="G132"/>
      <c r="H132" s="381"/>
      <c r="I132"/>
      <c r="J132" t="str">
        <f t="shared" si="16"/>
        <v>GA-Yes</v>
      </c>
      <c r="K132" t="str">
        <f t="shared" si="17"/>
        <v>GA-No</v>
      </c>
      <c r="L132" s="417">
        <v>1</v>
      </c>
      <c r="M132" s="417">
        <v>1</v>
      </c>
      <c r="N132" s="255">
        <v>2014</v>
      </c>
      <c r="O132" s="416">
        <v>75478</v>
      </c>
      <c r="P132" s="416"/>
      <c r="Q132" s="416">
        <v>91336</v>
      </c>
      <c r="R132" s="416"/>
      <c r="S132" s="416">
        <v>0</v>
      </c>
      <c r="T132" s="353">
        <f t="shared" si="18"/>
        <v>166814</v>
      </c>
      <c r="U132" s="396"/>
      <c r="V132" s="221">
        <f t="shared" si="19"/>
        <v>91336</v>
      </c>
      <c r="W132" s="388">
        <f t="shared" si="29"/>
        <v>75478</v>
      </c>
      <c r="X132" s="222">
        <f t="shared" si="20"/>
        <v>9.506396345630462E-2</v>
      </c>
      <c r="Y132" s="421">
        <f t="shared" si="28"/>
        <v>9.5063963456304634E-2</v>
      </c>
      <c r="Z132" s="223">
        <f t="shared" si="21"/>
        <v>0.54753198172815232</v>
      </c>
      <c r="AA132" s="224" t="str">
        <f t="shared" si="30"/>
        <v>GA-No</v>
      </c>
      <c r="AB132" s="225" t="str">
        <f t="shared" si="23"/>
        <v>GA-Rep</v>
      </c>
      <c r="AC132" s="422" t="str">
        <f>C132&amp;"-"&amp;IF(Y132&gt;Instructions!$H$14,Instructions!$I$14,IF(Y132&gt;Instructions!$H$15,Instructions!$I$15,IF(Y132&gt;Instructions!$H$16,Instructions!$I$16,IF(Y132&gt;Instructions!$H$17,Instructions!$I$17,Instructions!$I$18))))</f>
        <v>GA-Competitive</v>
      </c>
      <c r="AD132" s="226">
        <f t="shared" si="24"/>
        <v>75478</v>
      </c>
      <c r="AE132" s="226">
        <f t="shared" si="25"/>
        <v>0</v>
      </c>
      <c r="AF132" s="227">
        <f t="shared" si="26"/>
        <v>0</v>
      </c>
      <c r="AG132" s="341">
        <f t="shared" si="27"/>
        <v>75478</v>
      </c>
      <c r="AH132" s="413">
        <f>SUM(AG131:AG132)</f>
        <v>75478</v>
      </c>
    </row>
    <row r="133" spans="1:34">
      <c r="A133" s="352" t="s">
        <v>73</v>
      </c>
      <c r="B133" s="427">
        <v>13</v>
      </c>
      <c r="C133" s="220" t="s">
        <v>9</v>
      </c>
      <c r="D133" s="379" t="s">
        <v>490</v>
      </c>
      <c r="E133" s="379"/>
      <c r="F133" t="s">
        <v>348</v>
      </c>
      <c r="G133" s="381"/>
      <c r="H133"/>
      <c r="I133" s="379"/>
      <c r="J133" t="str">
        <f t="shared" si="16"/>
        <v>GA-Yes</v>
      </c>
      <c r="K133" t="str">
        <f t="shared" si="17"/>
        <v>GA-Yes</v>
      </c>
      <c r="L133" s="417"/>
      <c r="M133" s="417"/>
      <c r="N133" s="255">
        <v>2002</v>
      </c>
      <c r="O133" s="416">
        <v>159445</v>
      </c>
      <c r="P133" s="416"/>
      <c r="Q133" s="416">
        <v>0</v>
      </c>
      <c r="R133" s="416"/>
      <c r="S133" s="416">
        <v>0</v>
      </c>
      <c r="T133" s="353">
        <f t="shared" si="18"/>
        <v>159445</v>
      </c>
      <c r="U133" s="228"/>
      <c r="V133" s="221">
        <f t="shared" si="19"/>
        <v>159445</v>
      </c>
      <c r="W133" s="388">
        <f t="shared" si="29"/>
        <v>0</v>
      </c>
      <c r="X133" s="222">
        <f t="shared" si="20"/>
        <v>1</v>
      </c>
      <c r="Y133" s="421">
        <f t="shared" si="28"/>
        <v>1</v>
      </c>
      <c r="Z133" s="223">
        <f t="shared" si="21"/>
        <v>1</v>
      </c>
      <c r="AA133" s="224" t="str">
        <f t="shared" si="30"/>
        <v>GA-Yes</v>
      </c>
      <c r="AB133" s="225" t="str">
        <f t="shared" si="23"/>
        <v>GA-Dem</v>
      </c>
      <c r="AC133" s="422" t="str">
        <f>C133&amp;"-"&amp;IF(Y133&gt;Instructions!$H$14,Instructions!$I$14,IF(Y133&gt;Instructions!$H$15,Instructions!$I$15,IF(Y133&gt;Instructions!$H$16,Instructions!$I$16,IF(Y133&gt;Instructions!$H$17,Instructions!$I$17,Instructions!$I$18))))</f>
        <v>GA-No contest</v>
      </c>
      <c r="AD133" s="226">
        <f t="shared" si="24"/>
        <v>0</v>
      </c>
      <c r="AE133" s="226">
        <f t="shared" si="25"/>
        <v>0</v>
      </c>
      <c r="AF133" s="227">
        <f t="shared" si="26"/>
        <v>0</v>
      </c>
      <c r="AG133" s="341">
        <f t="shared" si="27"/>
        <v>0</v>
      </c>
    </row>
    <row r="134" spans="1:34">
      <c r="A134" s="352" t="s">
        <v>73</v>
      </c>
      <c r="B134" s="427">
        <v>14</v>
      </c>
      <c r="C134" s="220" t="s">
        <v>9</v>
      </c>
      <c r="D134" s="379" t="s">
        <v>491</v>
      </c>
      <c r="E134"/>
      <c r="F134"/>
      <c r="G134" s="379"/>
      <c r="H134"/>
      <c r="I134"/>
      <c r="J134" t="str">
        <f t="shared" si="16"/>
        <v>GA-Yes</v>
      </c>
      <c r="K134" t="str">
        <f t="shared" si="17"/>
        <v>GA-Yes</v>
      </c>
      <c r="L134" s="415"/>
      <c r="M134" s="415"/>
      <c r="N134" s="255">
        <v>2010</v>
      </c>
      <c r="O134" s="416">
        <v>0</v>
      </c>
      <c r="P134" s="416"/>
      <c r="Q134" s="416">
        <v>118782</v>
      </c>
      <c r="R134" s="416"/>
      <c r="S134" s="416">
        <v>0</v>
      </c>
      <c r="T134" s="353">
        <f t="shared" si="18"/>
        <v>118782</v>
      </c>
      <c r="U134" s="228"/>
      <c r="V134" s="221">
        <f t="shared" si="19"/>
        <v>118782</v>
      </c>
      <c r="W134" s="388">
        <f t="shared" si="29"/>
        <v>0</v>
      </c>
      <c r="X134" s="222">
        <f t="shared" si="20"/>
        <v>1</v>
      </c>
      <c r="Y134" s="421">
        <f t="shared" si="28"/>
        <v>1</v>
      </c>
      <c r="Z134" s="223">
        <f t="shared" si="21"/>
        <v>1</v>
      </c>
      <c r="AA134" s="224" t="str">
        <f t="shared" si="30"/>
        <v>GA-Yes</v>
      </c>
      <c r="AB134" s="225" t="str">
        <f t="shared" si="23"/>
        <v>GA-Rep</v>
      </c>
      <c r="AC134" s="422" t="str">
        <f>C134&amp;"-"&amp;IF(Y134&gt;Instructions!$H$14,Instructions!$I$14,IF(Y134&gt;Instructions!$H$15,Instructions!$I$15,IF(Y134&gt;Instructions!$H$16,Instructions!$I$16,IF(Y134&gt;Instructions!$H$17,Instructions!$I$17,Instructions!$I$18))))</f>
        <v>GA-No contest</v>
      </c>
      <c r="AD134" s="226">
        <f t="shared" si="24"/>
        <v>0</v>
      </c>
      <c r="AE134" s="226">
        <f t="shared" si="25"/>
        <v>0</v>
      </c>
      <c r="AF134" s="227">
        <f t="shared" si="26"/>
        <v>0</v>
      </c>
      <c r="AG134" s="341">
        <f t="shared" si="27"/>
        <v>0</v>
      </c>
      <c r="AH134" s="413">
        <f>SUM(AG133:AG134)</f>
        <v>0</v>
      </c>
    </row>
    <row r="135" spans="1:34">
      <c r="A135" s="352" t="s">
        <v>74</v>
      </c>
      <c r="B135" s="427">
        <v>1</v>
      </c>
      <c r="C135" s="220" t="s">
        <v>10</v>
      </c>
      <c r="D135" s="379" t="s">
        <v>781</v>
      </c>
      <c r="E135" s="379"/>
      <c r="F135" s="379"/>
      <c r="G135"/>
      <c r="H135" t="s">
        <v>349</v>
      </c>
      <c r="I135"/>
      <c r="J135" t="str">
        <f t="shared" ref="J135:J198" si="31">C135&amp;"-"&amp;IF(L135=1, "Yes", IF(L135="", "Yes", IF(L135=0, "No")))</f>
        <v>HI-No</v>
      </c>
      <c r="K135" t="str">
        <f t="shared" ref="K135:K198" si="32">C135&amp;"-"&amp;IF(L135=1, "No", IF(M135=1, "No", IF(L135="", "Yes", IF(L135=0, "No"))))</f>
        <v>HI-No</v>
      </c>
      <c r="L135" s="415">
        <v>0</v>
      </c>
      <c r="M135" s="417"/>
      <c r="N135" s="255">
        <v>2014</v>
      </c>
      <c r="O135" s="416">
        <v>93390</v>
      </c>
      <c r="P135" s="416"/>
      <c r="Q135" s="416">
        <v>86454</v>
      </c>
      <c r="R135" s="416"/>
      <c r="S135" s="416">
        <v>0</v>
      </c>
      <c r="T135" s="353">
        <f t="shared" ref="T135:T198" si="33">O135+Q135+P135+R135+S135</f>
        <v>179844</v>
      </c>
      <c r="U135" s="228"/>
      <c r="V135" s="221">
        <f t="shared" ref="V135:V198" si="34">MAX(O135:S135)</f>
        <v>93390</v>
      </c>
      <c r="W135" s="388">
        <f t="shared" si="29"/>
        <v>86454</v>
      </c>
      <c r="X135" s="222">
        <f t="shared" ref="X135:X198" si="35">ABS(O135-Q135)/(O135+Q135)</f>
        <v>3.8566757856809235E-2</v>
      </c>
      <c r="Y135" s="421">
        <f t="shared" si="28"/>
        <v>3.8566757856809186E-2</v>
      </c>
      <c r="Z135" s="223">
        <f t="shared" ref="Z135:Z198" si="36">V135/T135</f>
        <v>0.51928337892840459</v>
      </c>
      <c r="AA135" s="224" t="str">
        <f t="shared" ref="AA135:AA166" si="37">C135&amp;"-"&amp;IF(O135*Q135=0,"Yes","No")</f>
        <v>HI-No</v>
      </c>
      <c r="AB135" s="225" t="str">
        <f t="shared" ref="AB135:AB198" si="38">C135&amp;"-"&amp;IF(S135=MAX(O135:S135),"Other",IF(Q135&gt;O135,"Rep","Dem"))</f>
        <v>HI-Dem</v>
      </c>
      <c r="AC135" s="422" t="str">
        <f>C135&amp;"-"&amp;IF(Y135&gt;Instructions!$H$14,Instructions!$I$14,IF(Y135&gt;Instructions!$H$15,Instructions!$I$15,IF(Y135&gt;Instructions!$H$16,Instructions!$I$16,IF(Y135&gt;Instructions!$H$17,Instructions!$I$17,Instructions!$I$18))))</f>
        <v>HI-Tight</v>
      </c>
      <c r="AD135" s="226">
        <f t="shared" ref="AD135:AD198" si="39">IF(V135=O135,0,O135)</f>
        <v>0</v>
      </c>
      <c r="AE135" s="226">
        <f t="shared" ref="AE135:AE198" si="40">IF(V135=Q135,0,Q135)</f>
        <v>86454</v>
      </c>
      <c r="AF135" s="227">
        <f t="shared" ref="AF135:AF198" si="41">IF(V135=S135,0,S135)</f>
        <v>0</v>
      </c>
      <c r="AG135" s="341">
        <f t="shared" ref="AG135:AG198" si="42">SUM(AD135:AF135)</f>
        <v>86454</v>
      </c>
    </row>
    <row r="136" spans="1:34">
      <c r="A136" s="352" t="s">
        <v>74</v>
      </c>
      <c r="B136" s="427">
        <v>2</v>
      </c>
      <c r="C136" s="220" t="s">
        <v>10</v>
      </c>
      <c r="D136" s="379" t="s">
        <v>492</v>
      </c>
      <c r="E136" t="s">
        <v>349</v>
      </c>
      <c r="F136"/>
      <c r="G136"/>
      <c r="H136" t="s">
        <v>349</v>
      </c>
      <c r="I136"/>
      <c r="J136" t="str">
        <f t="shared" si="31"/>
        <v>HI-Yes</v>
      </c>
      <c r="K136" t="str">
        <f t="shared" si="32"/>
        <v>HI-Yes</v>
      </c>
      <c r="L136" s="417"/>
      <c r="M136" s="417"/>
      <c r="N136" s="255">
        <v>2012</v>
      </c>
      <c r="O136" s="416">
        <v>142010</v>
      </c>
      <c r="P136" s="416"/>
      <c r="Q136" s="416">
        <v>33630</v>
      </c>
      <c r="R136" s="416"/>
      <c r="S136" s="416">
        <v>4693</v>
      </c>
      <c r="T136" s="353">
        <f t="shared" si="33"/>
        <v>180333</v>
      </c>
      <c r="U136" s="228"/>
      <c r="V136" s="221">
        <f t="shared" si="34"/>
        <v>142010</v>
      </c>
      <c r="W136" s="388">
        <f t="shared" si="29"/>
        <v>33630</v>
      </c>
      <c r="X136" s="222">
        <f t="shared" si="35"/>
        <v>0.61705761785470281</v>
      </c>
      <c r="Y136" s="421">
        <f t="shared" ref="Y136:Y199" si="43">(V136/T136)-(W136/T136)</f>
        <v>0.60099926247553137</v>
      </c>
      <c r="Z136" s="223">
        <f t="shared" si="36"/>
        <v>0.78748759239850719</v>
      </c>
      <c r="AA136" s="224" t="str">
        <f t="shared" si="37"/>
        <v>HI-No</v>
      </c>
      <c r="AB136" s="225" t="str">
        <f t="shared" si="38"/>
        <v>HI-Dem</v>
      </c>
      <c r="AC136" s="422" t="str">
        <f>C136&amp;"-"&amp;IF(Y136&gt;Instructions!$H$14,Instructions!$I$14,IF(Y136&gt;Instructions!$H$15,Instructions!$I$15,IF(Y136&gt;Instructions!$H$16,Instructions!$I$16,IF(Y136&gt;Instructions!$H$17,Instructions!$I$17,Instructions!$I$18))))</f>
        <v>HI-No contest</v>
      </c>
      <c r="AD136" s="226">
        <f t="shared" si="39"/>
        <v>0</v>
      </c>
      <c r="AE136" s="226">
        <f t="shared" si="40"/>
        <v>33630</v>
      </c>
      <c r="AF136" s="227">
        <f t="shared" si="41"/>
        <v>4693</v>
      </c>
      <c r="AG136" s="341">
        <f t="shared" si="42"/>
        <v>38323</v>
      </c>
    </row>
    <row r="137" spans="1:34">
      <c r="A137" s="352" t="s">
        <v>75</v>
      </c>
      <c r="B137" s="427">
        <v>1</v>
      </c>
      <c r="C137" s="220" t="s">
        <v>11</v>
      </c>
      <c r="D137" s="379" t="s">
        <v>493</v>
      </c>
      <c r="E137"/>
      <c r="F137"/>
      <c r="G137" t="s">
        <v>350</v>
      </c>
      <c r="H137"/>
      <c r="I137"/>
      <c r="J137" t="str">
        <f t="shared" si="31"/>
        <v>ID-Yes</v>
      </c>
      <c r="K137" t="str">
        <f t="shared" si="32"/>
        <v>ID-Yes</v>
      </c>
      <c r="L137" s="352"/>
      <c r="M137" s="352"/>
      <c r="N137" s="255">
        <v>2010</v>
      </c>
      <c r="O137" s="416">
        <v>77277</v>
      </c>
      <c r="P137" s="416"/>
      <c r="Q137" s="416">
        <v>143580</v>
      </c>
      <c r="R137" s="416"/>
      <c r="S137" s="416">
        <v>7</v>
      </c>
      <c r="T137" s="353">
        <f t="shared" si="33"/>
        <v>220864</v>
      </c>
      <c r="U137" s="228"/>
      <c r="V137" s="221">
        <f t="shared" si="34"/>
        <v>143580</v>
      </c>
      <c r="W137" s="388">
        <f t="shared" si="29"/>
        <v>77277</v>
      </c>
      <c r="X137" s="222">
        <f t="shared" si="35"/>
        <v>0.30020782678384655</v>
      </c>
      <c r="Y137" s="421">
        <f t="shared" si="43"/>
        <v>0.3001983120834541</v>
      </c>
      <c r="Z137" s="223">
        <f t="shared" si="36"/>
        <v>0.65008330918574331</v>
      </c>
      <c r="AA137" s="224" t="str">
        <f t="shared" si="37"/>
        <v>ID-No</v>
      </c>
      <c r="AB137" s="225" t="str">
        <f t="shared" si="38"/>
        <v>ID-Rep</v>
      </c>
      <c r="AC137" s="422" t="str">
        <f>C137&amp;"-"&amp;IF(Y137&gt;Instructions!$H$14,Instructions!$I$14,IF(Y137&gt;Instructions!$H$15,Instructions!$I$15,IF(Y137&gt;Instructions!$H$16,Instructions!$I$16,IF(Y137&gt;Instructions!$H$17,Instructions!$I$17,Instructions!$I$18))))</f>
        <v>ID-Landslide</v>
      </c>
      <c r="AD137" s="226">
        <f t="shared" si="39"/>
        <v>77277</v>
      </c>
      <c r="AE137" s="226">
        <f t="shared" si="40"/>
        <v>0</v>
      </c>
      <c r="AF137" s="227">
        <f t="shared" si="41"/>
        <v>7</v>
      </c>
      <c r="AG137" s="341">
        <f t="shared" si="42"/>
        <v>77284</v>
      </c>
    </row>
    <row r="138" spans="1:34">
      <c r="A138" s="352" t="s">
        <v>75</v>
      </c>
      <c r="B138" s="427">
        <v>2</v>
      </c>
      <c r="C138" s="220" t="s">
        <v>11</v>
      </c>
      <c r="D138" s="379" t="s">
        <v>494</v>
      </c>
      <c r="E138"/>
      <c r="F138"/>
      <c r="G138" s="381"/>
      <c r="H138"/>
      <c r="I138"/>
      <c r="J138" t="str">
        <f t="shared" si="31"/>
        <v>ID-Yes</v>
      </c>
      <c r="K138" t="str">
        <f t="shared" si="32"/>
        <v>ID-Yes</v>
      </c>
      <c r="L138" s="352"/>
      <c r="M138" s="352"/>
      <c r="N138" s="255">
        <v>1998</v>
      </c>
      <c r="O138" s="416">
        <v>82801</v>
      </c>
      <c r="P138" s="416"/>
      <c r="Q138" s="416">
        <v>131492</v>
      </c>
      <c r="R138" s="416"/>
      <c r="S138" s="416">
        <v>0</v>
      </c>
      <c r="T138" s="353">
        <f t="shared" si="33"/>
        <v>214293</v>
      </c>
      <c r="U138" s="228"/>
      <c r="V138" s="388">
        <f t="shared" si="34"/>
        <v>131492</v>
      </c>
      <c r="W138" s="388">
        <f t="shared" si="29"/>
        <v>82801</v>
      </c>
      <c r="X138" s="222">
        <f t="shared" si="35"/>
        <v>0.22721694129066278</v>
      </c>
      <c r="Y138" s="421">
        <f t="shared" si="43"/>
        <v>0.22721694129066283</v>
      </c>
      <c r="Z138" s="390">
        <f t="shared" si="36"/>
        <v>0.61360847064533142</v>
      </c>
      <c r="AA138" s="224" t="str">
        <f t="shared" si="37"/>
        <v>ID-No</v>
      </c>
      <c r="AB138" s="392" t="str">
        <f t="shared" si="38"/>
        <v>ID-Rep</v>
      </c>
      <c r="AC138" s="422" t="str">
        <f>C138&amp;"-"&amp;IF(Y138&gt;Instructions!$H$14,Instructions!$I$14,IF(Y138&gt;Instructions!$H$15,Instructions!$I$15,IF(Y138&gt;Instructions!$H$16,Instructions!$I$16,IF(Y138&gt;Instructions!$H$17,Instructions!$I$17,Instructions!$I$18))))</f>
        <v>ID-Landslide</v>
      </c>
      <c r="AD138" s="394">
        <f t="shared" si="39"/>
        <v>82801</v>
      </c>
      <c r="AE138" s="394">
        <f t="shared" si="40"/>
        <v>0</v>
      </c>
      <c r="AF138" s="395">
        <f t="shared" si="41"/>
        <v>0</v>
      </c>
      <c r="AG138" s="341">
        <f t="shared" si="42"/>
        <v>82801</v>
      </c>
      <c r="AH138" s="380"/>
    </row>
    <row r="139" spans="1:34">
      <c r="A139" s="352" t="s">
        <v>76</v>
      </c>
      <c r="B139" s="427">
        <v>1</v>
      </c>
      <c r="C139" s="220" t="s">
        <v>12</v>
      </c>
      <c r="D139" s="379" t="s">
        <v>495</v>
      </c>
      <c r="E139"/>
      <c r="F139" t="s">
        <v>351</v>
      </c>
      <c r="G139"/>
      <c r="H139"/>
      <c r="I139"/>
      <c r="J139" t="str">
        <f t="shared" si="31"/>
        <v>IL-Yes</v>
      </c>
      <c r="K139" t="str">
        <f t="shared" si="32"/>
        <v>IL-Yes</v>
      </c>
      <c r="L139" s="417"/>
      <c r="M139" s="417"/>
      <c r="N139" s="255">
        <v>1992</v>
      </c>
      <c r="O139" s="416">
        <v>162268</v>
      </c>
      <c r="P139" s="416"/>
      <c r="Q139" s="416">
        <v>59749</v>
      </c>
      <c r="R139" s="416"/>
      <c r="S139" s="416">
        <v>0</v>
      </c>
      <c r="T139" s="353">
        <f t="shared" si="33"/>
        <v>222017</v>
      </c>
      <c r="U139" s="228"/>
      <c r="V139" s="388">
        <f t="shared" si="34"/>
        <v>162268</v>
      </c>
      <c r="W139" s="388">
        <f t="shared" si="29"/>
        <v>59749</v>
      </c>
      <c r="X139" s="222">
        <f t="shared" si="35"/>
        <v>0.46176193714895708</v>
      </c>
      <c r="Y139" s="421">
        <f t="shared" si="43"/>
        <v>0.46176193714895702</v>
      </c>
      <c r="Z139" s="390">
        <f t="shared" si="36"/>
        <v>0.73088096857447848</v>
      </c>
      <c r="AA139" s="224" t="str">
        <f t="shared" si="37"/>
        <v>IL-No</v>
      </c>
      <c r="AB139" s="392" t="str">
        <f t="shared" si="38"/>
        <v>IL-Dem</v>
      </c>
      <c r="AC139" s="422" t="str">
        <f>C139&amp;"-"&amp;IF(Y139&gt;Instructions!$H$14,Instructions!$I$14,IF(Y139&gt;Instructions!$H$15,Instructions!$I$15,IF(Y139&gt;Instructions!$H$16,Instructions!$I$16,IF(Y139&gt;Instructions!$H$17,Instructions!$I$17,Instructions!$I$18))))</f>
        <v>IL-No contest</v>
      </c>
      <c r="AD139" s="394">
        <f t="shared" si="39"/>
        <v>0</v>
      </c>
      <c r="AE139" s="394">
        <f t="shared" si="40"/>
        <v>59749</v>
      </c>
      <c r="AF139" s="395">
        <f t="shared" si="41"/>
        <v>0</v>
      </c>
      <c r="AG139" s="341">
        <f t="shared" si="42"/>
        <v>59749</v>
      </c>
      <c r="AH139" s="380"/>
    </row>
    <row r="140" spans="1:34">
      <c r="A140" s="352" t="s">
        <v>76</v>
      </c>
      <c r="B140" s="426">
        <v>2</v>
      </c>
      <c r="C140" s="220" t="s">
        <v>12</v>
      </c>
      <c r="D140" s="379" t="s">
        <v>782</v>
      </c>
      <c r="E140" s="379" t="s">
        <v>828</v>
      </c>
      <c r="F140" s="379" t="s">
        <v>828</v>
      </c>
      <c r="G140"/>
      <c r="H140"/>
      <c r="I140"/>
      <c r="J140" t="str">
        <f t="shared" si="31"/>
        <v>IL-Yes</v>
      </c>
      <c r="K140" t="str">
        <f t="shared" si="32"/>
        <v>IL-Yes</v>
      </c>
      <c r="L140" s="417"/>
      <c r="M140" s="417"/>
      <c r="N140" s="255">
        <v>0</v>
      </c>
      <c r="O140" s="416">
        <v>160337</v>
      </c>
      <c r="P140" s="416"/>
      <c r="Q140" s="416">
        <v>43799</v>
      </c>
      <c r="R140" s="416"/>
      <c r="S140" s="416">
        <v>130</v>
      </c>
      <c r="T140" s="353">
        <f t="shared" si="33"/>
        <v>204266</v>
      </c>
      <c r="U140" s="228"/>
      <c r="V140" s="221">
        <f t="shared" si="34"/>
        <v>160337</v>
      </c>
      <c r="W140" s="388">
        <f t="shared" si="29"/>
        <v>43799</v>
      </c>
      <c r="X140" s="222">
        <f t="shared" si="35"/>
        <v>0.57088411647137205</v>
      </c>
      <c r="Y140" s="421">
        <f t="shared" si="43"/>
        <v>0.57052079151694368</v>
      </c>
      <c r="Z140" s="223">
        <f t="shared" si="36"/>
        <v>0.78494218323166853</v>
      </c>
      <c r="AA140" s="224" t="str">
        <f t="shared" si="37"/>
        <v>IL-No</v>
      </c>
      <c r="AB140" s="225" t="str">
        <f t="shared" si="38"/>
        <v>IL-Dem</v>
      </c>
      <c r="AC140" s="422" t="str">
        <f>C140&amp;"-"&amp;IF(Y140&gt;Instructions!$H$14,Instructions!$I$14,IF(Y140&gt;Instructions!$H$15,Instructions!$I$15,IF(Y140&gt;Instructions!$H$16,Instructions!$I$16,IF(Y140&gt;Instructions!$H$17,Instructions!$I$17,Instructions!$I$18))))</f>
        <v>IL-No contest</v>
      </c>
      <c r="AD140" s="226">
        <f t="shared" si="39"/>
        <v>0</v>
      </c>
      <c r="AE140" s="226">
        <f t="shared" si="40"/>
        <v>43799</v>
      </c>
      <c r="AF140" s="227">
        <f t="shared" si="41"/>
        <v>130</v>
      </c>
      <c r="AG140" s="341">
        <f t="shared" si="42"/>
        <v>43929</v>
      </c>
    </row>
    <row r="141" spans="1:34">
      <c r="A141" s="352" t="s">
        <v>76</v>
      </c>
      <c r="B141" s="427">
        <v>3</v>
      </c>
      <c r="C141" s="220" t="s">
        <v>12</v>
      </c>
      <c r="D141" s="379" t="s">
        <v>496</v>
      </c>
      <c r="E141" s="379"/>
      <c r="F141" s="381"/>
      <c r="G141"/>
      <c r="H141"/>
      <c r="I141"/>
      <c r="J141" t="str">
        <f t="shared" si="31"/>
        <v>IL-Yes</v>
      </c>
      <c r="K141" t="str">
        <f t="shared" si="32"/>
        <v>IL-Yes</v>
      </c>
      <c r="L141" s="417"/>
      <c r="M141" s="417"/>
      <c r="N141" s="255">
        <v>2004</v>
      </c>
      <c r="O141" s="416">
        <v>116764</v>
      </c>
      <c r="P141" s="416"/>
      <c r="Q141" s="416">
        <v>64091</v>
      </c>
      <c r="R141" s="416"/>
      <c r="S141" s="416">
        <v>0</v>
      </c>
      <c r="T141" s="353">
        <f t="shared" si="33"/>
        <v>180855</v>
      </c>
      <c r="U141" s="228"/>
      <c r="V141" s="221">
        <f t="shared" si="34"/>
        <v>116764</v>
      </c>
      <c r="W141" s="388">
        <f t="shared" si="29"/>
        <v>64091</v>
      </c>
      <c r="X141" s="222">
        <f t="shared" si="35"/>
        <v>0.29124436703436457</v>
      </c>
      <c r="Y141" s="421">
        <f t="shared" si="43"/>
        <v>0.29124436703436452</v>
      </c>
      <c r="Z141" s="223">
        <f t="shared" si="36"/>
        <v>0.64562218351718226</v>
      </c>
      <c r="AA141" s="224" t="str">
        <f t="shared" si="37"/>
        <v>IL-No</v>
      </c>
      <c r="AB141" s="225" t="str">
        <f t="shared" si="38"/>
        <v>IL-Dem</v>
      </c>
      <c r="AC141" s="422" t="str">
        <f>C141&amp;"-"&amp;IF(Y141&gt;Instructions!$H$14,Instructions!$I$14,IF(Y141&gt;Instructions!$H$15,Instructions!$I$15,IF(Y141&gt;Instructions!$H$16,Instructions!$I$16,IF(Y141&gt;Instructions!$H$17,Instructions!$I$17,Instructions!$I$18))))</f>
        <v>IL-Landslide</v>
      </c>
      <c r="AD141" s="226">
        <f t="shared" si="39"/>
        <v>0</v>
      </c>
      <c r="AE141" s="226">
        <f t="shared" si="40"/>
        <v>64091</v>
      </c>
      <c r="AF141" s="227">
        <f t="shared" si="41"/>
        <v>0</v>
      </c>
      <c r="AG141" s="341">
        <f t="shared" si="42"/>
        <v>64091</v>
      </c>
    </row>
    <row r="142" spans="1:34">
      <c r="A142" s="352" t="s">
        <v>76</v>
      </c>
      <c r="B142" s="427">
        <v>4</v>
      </c>
      <c r="C142" s="220" t="s">
        <v>12</v>
      </c>
      <c r="D142" s="379" t="s">
        <v>497</v>
      </c>
      <c r="E142" s="379"/>
      <c r="F142"/>
      <c r="G142" t="s">
        <v>351</v>
      </c>
      <c r="H142"/>
      <c r="I142" s="379"/>
      <c r="J142" t="str">
        <f t="shared" si="31"/>
        <v>IL-Yes</v>
      </c>
      <c r="K142" t="str">
        <f t="shared" si="32"/>
        <v>IL-Yes</v>
      </c>
      <c r="L142" s="417"/>
      <c r="M142" s="417"/>
      <c r="N142" s="255">
        <v>1992</v>
      </c>
      <c r="O142" s="416">
        <v>79666</v>
      </c>
      <c r="P142" s="416"/>
      <c r="Q142" s="416">
        <v>22278</v>
      </c>
      <c r="R142" s="416"/>
      <c r="S142" s="416">
        <v>0</v>
      </c>
      <c r="T142" s="353">
        <f t="shared" si="33"/>
        <v>101944</v>
      </c>
      <c r="U142" s="228"/>
      <c r="V142" s="221">
        <f t="shared" si="34"/>
        <v>79666</v>
      </c>
      <c r="W142" s="388">
        <f t="shared" si="29"/>
        <v>22278</v>
      </c>
      <c r="X142" s="222">
        <f t="shared" si="35"/>
        <v>0.56293651416463941</v>
      </c>
      <c r="Y142" s="421">
        <f t="shared" si="43"/>
        <v>0.56293651416463941</v>
      </c>
      <c r="Z142" s="223">
        <f t="shared" si="36"/>
        <v>0.78146825708231971</v>
      </c>
      <c r="AA142" s="224" t="str">
        <f t="shared" si="37"/>
        <v>IL-No</v>
      </c>
      <c r="AB142" s="225" t="str">
        <f t="shared" si="38"/>
        <v>IL-Dem</v>
      </c>
      <c r="AC142" s="422" t="str">
        <f>C142&amp;"-"&amp;IF(Y142&gt;Instructions!$H$14,Instructions!$I$14,IF(Y142&gt;Instructions!$H$15,Instructions!$I$15,IF(Y142&gt;Instructions!$H$16,Instructions!$I$16,IF(Y142&gt;Instructions!$H$17,Instructions!$I$17,Instructions!$I$18))))</f>
        <v>IL-No contest</v>
      </c>
      <c r="AD142" s="226">
        <f t="shared" si="39"/>
        <v>0</v>
      </c>
      <c r="AE142" s="226">
        <f t="shared" si="40"/>
        <v>22278</v>
      </c>
      <c r="AF142" s="227">
        <f t="shared" si="41"/>
        <v>0</v>
      </c>
      <c r="AG142" s="341">
        <f t="shared" si="42"/>
        <v>22278</v>
      </c>
      <c r="AH142" s="380"/>
    </row>
    <row r="143" spans="1:34">
      <c r="A143" s="352" t="s">
        <v>76</v>
      </c>
      <c r="B143" s="427">
        <v>5</v>
      </c>
      <c r="C143" s="220" t="s">
        <v>12</v>
      </c>
      <c r="D143" s="379" t="s">
        <v>498</v>
      </c>
      <c r="E143" s="381"/>
      <c r="F143"/>
      <c r="G143" s="379"/>
      <c r="H143"/>
      <c r="I143"/>
      <c r="J143" t="str">
        <f t="shared" si="31"/>
        <v>IL-Yes</v>
      </c>
      <c r="K143" t="str">
        <f t="shared" si="32"/>
        <v>IL-Yes</v>
      </c>
      <c r="L143" s="417"/>
      <c r="M143" s="417"/>
      <c r="N143" s="255">
        <v>2009</v>
      </c>
      <c r="O143" s="416">
        <v>116364</v>
      </c>
      <c r="P143" s="416"/>
      <c r="Q143" s="416">
        <v>56350</v>
      </c>
      <c r="R143" s="416"/>
      <c r="S143" s="416">
        <v>11305</v>
      </c>
      <c r="T143" s="353">
        <f t="shared" si="33"/>
        <v>184019</v>
      </c>
      <c r="U143" s="228"/>
      <c r="V143" s="221">
        <f t="shared" si="34"/>
        <v>116364</v>
      </c>
      <c r="W143" s="388">
        <f t="shared" si="29"/>
        <v>56350</v>
      </c>
      <c r="X143" s="222">
        <f t="shared" si="35"/>
        <v>0.34747617448498674</v>
      </c>
      <c r="Y143" s="421">
        <f t="shared" si="43"/>
        <v>0.32612936707622581</v>
      </c>
      <c r="Z143" s="223">
        <f t="shared" si="36"/>
        <v>0.63234774670006899</v>
      </c>
      <c r="AA143" s="224" t="str">
        <f t="shared" si="37"/>
        <v>IL-No</v>
      </c>
      <c r="AB143" s="225" t="str">
        <f t="shared" si="38"/>
        <v>IL-Dem</v>
      </c>
      <c r="AC143" s="422" t="str">
        <f>C143&amp;"-"&amp;IF(Y143&gt;Instructions!$H$14,Instructions!$I$14,IF(Y143&gt;Instructions!$H$15,Instructions!$I$15,IF(Y143&gt;Instructions!$H$16,Instructions!$I$16,IF(Y143&gt;Instructions!$H$17,Instructions!$I$17,Instructions!$I$18))))</f>
        <v>IL-Landslide</v>
      </c>
      <c r="AD143" s="226">
        <f t="shared" si="39"/>
        <v>0</v>
      </c>
      <c r="AE143" s="226">
        <f t="shared" si="40"/>
        <v>56350</v>
      </c>
      <c r="AF143" s="227">
        <f t="shared" si="41"/>
        <v>11305</v>
      </c>
      <c r="AG143" s="341">
        <f t="shared" si="42"/>
        <v>67655</v>
      </c>
      <c r="AH143" s="380"/>
    </row>
    <row r="144" spans="1:34">
      <c r="A144" s="352" t="s">
        <v>76</v>
      </c>
      <c r="B144" s="427">
        <v>6</v>
      </c>
      <c r="C144" s="220" t="s">
        <v>12</v>
      </c>
      <c r="D144" s="379" t="s">
        <v>499</v>
      </c>
      <c r="E144" s="379"/>
      <c r="F144"/>
      <c r="G144"/>
      <c r="H144"/>
      <c r="I144"/>
      <c r="J144" t="str">
        <f t="shared" si="31"/>
        <v>IL-Yes</v>
      </c>
      <c r="K144" t="str">
        <f t="shared" si="32"/>
        <v>IL-Yes</v>
      </c>
      <c r="L144" s="415"/>
      <c r="M144" s="415"/>
      <c r="N144" s="255">
        <v>2006</v>
      </c>
      <c r="O144" s="416">
        <v>78465</v>
      </c>
      <c r="P144" s="416"/>
      <c r="Q144" s="416">
        <v>160287</v>
      </c>
      <c r="R144" s="416"/>
      <c r="S144" s="416">
        <v>0</v>
      </c>
      <c r="T144" s="353">
        <f t="shared" si="33"/>
        <v>238752</v>
      </c>
      <c r="U144" s="228"/>
      <c r="V144" s="221">
        <f t="shared" si="34"/>
        <v>160287</v>
      </c>
      <c r="W144" s="388">
        <f t="shared" si="29"/>
        <v>78465</v>
      </c>
      <c r="X144" s="222">
        <f t="shared" si="35"/>
        <v>0.34270707679935664</v>
      </c>
      <c r="Y144" s="421">
        <f t="shared" si="43"/>
        <v>0.34270707679935669</v>
      </c>
      <c r="Z144" s="223">
        <f t="shared" si="36"/>
        <v>0.67135353839967837</v>
      </c>
      <c r="AA144" s="224" t="str">
        <f t="shared" si="37"/>
        <v>IL-No</v>
      </c>
      <c r="AB144" s="225" t="str">
        <f t="shared" si="38"/>
        <v>IL-Rep</v>
      </c>
      <c r="AC144" s="422" t="str">
        <f>C144&amp;"-"&amp;IF(Y144&gt;Instructions!$H$14,Instructions!$I$14,IF(Y144&gt;Instructions!$H$15,Instructions!$I$15,IF(Y144&gt;Instructions!$H$16,Instructions!$I$16,IF(Y144&gt;Instructions!$H$17,Instructions!$I$17,Instructions!$I$18))))</f>
        <v>IL-Landslide</v>
      </c>
      <c r="AD144" s="226">
        <f t="shared" si="39"/>
        <v>78465</v>
      </c>
      <c r="AE144" s="226">
        <f t="shared" si="40"/>
        <v>0</v>
      </c>
      <c r="AF144" s="227">
        <f t="shared" si="41"/>
        <v>0</v>
      </c>
      <c r="AG144" s="341">
        <f t="shared" si="42"/>
        <v>78465</v>
      </c>
      <c r="AH144" s="380"/>
    </row>
    <row r="145" spans="1:34">
      <c r="A145" s="352" t="s">
        <v>76</v>
      </c>
      <c r="B145" s="427">
        <v>7</v>
      </c>
      <c r="C145" s="220" t="s">
        <v>12</v>
      </c>
      <c r="D145" s="379" t="s">
        <v>500</v>
      </c>
      <c r="E145"/>
      <c r="F145" t="s">
        <v>351</v>
      </c>
      <c r="G145"/>
      <c r="H145"/>
      <c r="I145"/>
      <c r="J145" t="str">
        <f t="shared" si="31"/>
        <v>IL-Yes</v>
      </c>
      <c r="K145" t="str">
        <f t="shared" si="32"/>
        <v>IL-Yes</v>
      </c>
      <c r="L145" s="417"/>
      <c r="M145" s="417"/>
      <c r="N145" s="255">
        <v>1996</v>
      </c>
      <c r="O145" s="416">
        <v>155110</v>
      </c>
      <c r="P145" s="416"/>
      <c r="Q145" s="416">
        <v>27168</v>
      </c>
      <c r="R145" s="416"/>
      <c r="S145" s="416">
        <v>0</v>
      </c>
      <c r="T145" s="353">
        <f t="shared" si="33"/>
        <v>182278</v>
      </c>
      <c r="U145" s="228"/>
      <c r="V145" s="221">
        <f t="shared" si="34"/>
        <v>155110</v>
      </c>
      <c r="W145" s="388">
        <f t="shared" si="29"/>
        <v>27168</v>
      </c>
      <c r="X145" s="222">
        <f t="shared" si="35"/>
        <v>0.70190588002940568</v>
      </c>
      <c r="Y145" s="421">
        <f t="shared" si="43"/>
        <v>0.70190588002940557</v>
      </c>
      <c r="Z145" s="223">
        <f t="shared" si="36"/>
        <v>0.85095294001470279</v>
      </c>
      <c r="AA145" s="224" t="str">
        <f t="shared" si="37"/>
        <v>IL-No</v>
      </c>
      <c r="AB145" s="225" t="str">
        <f t="shared" si="38"/>
        <v>IL-Dem</v>
      </c>
      <c r="AC145" s="422" t="str">
        <f>C145&amp;"-"&amp;IF(Y145&gt;Instructions!$H$14,Instructions!$I$14,IF(Y145&gt;Instructions!$H$15,Instructions!$I$15,IF(Y145&gt;Instructions!$H$16,Instructions!$I$16,IF(Y145&gt;Instructions!$H$17,Instructions!$I$17,Instructions!$I$18))))</f>
        <v>IL-No contest</v>
      </c>
      <c r="AD145" s="226">
        <f t="shared" si="39"/>
        <v>0</v>
      </c>
      <c r="AE145" s="226">
        <f t="shared" si="40"/>
        <v>27168</v>
      </c>
      <c r="AF145" s="227">
        <f t="shared" si="41"/>
        <v>0</v>
      </c>
      <c r="AG145" s="341">
        <f t="shared" si="42"/>
        <v>27168</v>
      </c>
    </row>
    <row r="146" spans="1:34">
      <c r="A146" s="352" t="s">
        <v>76</v>
      </c>
      <c r="B146" s="427">
        <v>8</v>
      </c>
      <c r="C146" s="220" t="s">
        <v>12</v>
      </c>
      <c r="D146" s="379" t="s">
        <v>501</v>
      </c>
      <c r="E146" t="s">
        <v>351</v>
      </c>
      <c r="F146" s="379"/>
      <c r="G146"/>
      <c r="H146" t="s">
        <v>351</v>
      </c>
      <c r="I146"/>
      <c r="J146" t="str">
        <f t="shared" si="31"/>
        <v>IL-Yes</v>
      </c>
      <c r="K146" t="str">
        <f t="shared" si="32"/>
        <v>IL-Yes</v>
      </c>
      <c r="L146" s="417"/>
      <c r="M146" s="417"/>
      <c r="N146" s="255">
        <v>2012</v>
      </c>
      <c r="O146" s="416">
        <v>84178</v>
      </c>
      <c r="P146" s="416"/>
      <c r="Q146" s="416">
        <v>66878</v>
      </c>
      <c r="R146" s="416"/>
      <c r="S146" s="416">
        <v>0</v>
      </c>
      <c r="T146" s="353">
        <f t="shared" si="33"/>
        <v>151056</v>
      </c>
      <c r="U146" s="228"/>
      <c r="V146" s="221">
        <f t="shared" si="34"/>
        <v>84178</v>
      </c>
      <c r="W146" s="388">
        <f t="shared" si="29"/>
        <v>66878</v>
      </c>
      <c r="X146" s="222">
        <f t="shared" si="35"/>
        <v>0.11452706281114289</v>
      </c>
      <c r="Y146" s="421">
        <f t="shared" si="43"/>
        <v>0.11452706281114283</v>
      </c>
      <c r="Z146" s="223">
        <f t="shared" si="36"/>
        <v>0.55726353140557139</v>
      </c>
      <c r="AA146" s="224" t="str">
        <f t="shared" si="37"/>
        <v>IL-No</v>
      </c>
      <c r="AB146" s="225" t="str">
        <f t="shared" si="38"/>
        <v>IL-Dem</v>
      </c>
      <c r="AC146" s="422" t="str">
        <f>C146&amp;"-"&amp;IF(Y146&gt;Instructions!$H$14,Instructions!$I$14,IF(Y146&gt;Instructions!$H$15,Instructions!$I$15,IF(Y146&gt;Instructions!$H$16,Instructions!$I$16,IF(Y146&gt;Instructions!$H$17,Instructions!$I$17,Instructions!$I$18))))</f>
        <v>IL-Opportunity</v>
      </c>
      <c r="AD146" s="226">
        <f t="shared" si="39"/>
        <v>0</v>
      </c>
      <c r="AE146" s="226">
        <f t="shared" si="40"/>
        <v>66878</v>
      </c>
      <c r="AF146" s="227">
        <f t="shared" si="41"/>
        <v>0</v>
      </c>
      <c r="AG146" s="341">
        <f t="shared" si="42"/>
        <v>66878</v>
      </c>
    </row>
    <row r="147" spans="1:34">
      <c r="A147" s="352" t="s">
        <v>76</v>
      </c>
      <c r="B147" s="427">
        <v>9</v>
      </c>
      <c r="C147" s="220" t="s">
        <v>12</v>
      </c>
      <c r="D147" s="379" t="s">
        <v>502</v>
      </c>
      <c r="E147" s="379" t="s">
        <v>351</v>
      </c>
      <c r="F147" s="379"/>
      <c r="G147"/>
      <c r="H147"/>
      <c r="I147"/>
      <c r="J147" t="str">
        <f t="shared" si="31"/>
        <v>IL-Yes</v>
      </c>
      <c r="K147" t="str">
        <f t="shared" si="32"/>
        <v>IL-Yes</v>
      </c>
      <c r="L147" s="417"/>
      <c r="M147" s="417"/>
      <c r="N147" s="255">
        <v>1998</v>
      </c>
      <c r="O147" s="416">
        <v>141000</v>
      </c>
      <c r="P147" s="416"/>
      <c r="Q147" s="416">
        <v>72384</v>
      </c>
      <c r="R147" s="416"/>
      <c r="S147" s="416">
        <v>66</v>
      </c>
      <c r="T147" s="353">
        <f t="shared" si="33"/>
        <v>213450</v>
      </c>
      <c r="U147" s="228"/>
      <c r="V147" s="221">
        <f t="shared" si="34"/>
        <v>141000</v>
      </c>
      <c r="W147" s="388">
        <f t="shared" si="29"/>
        <v>72384</v>
      </c>
      <c r="X147" s="222">
        <f t="shared" si="35"/>
        <v>0.32156112923180746</v>
      </c>
      <c r="Y147" s="421">
        <f t="shared" si="43"/>
        <v>0.32146170063246665</v>
      </c>
      <c r="Z147" s="223">
        <f t="shared" si="36"/>
        <v>0.66057624736472242</v>
      </c>
      <c r="AA147" s="224" t="str">
        <f t="shared" si="37"/>
        <v>IL-No</v>
      </c>
      <c r="AB147" s="225" t="str">
        <f t="shared" si="38"/>
        <v>IL-Dem</v>
      </c>
      <c r="AC147" s="422" t="str">
        <f>C147&amp;"-"&amp;IF(Y147&gt;Instructions!$H$14,Instructions!$I$14,IF(Y147&gt;Instructions!$H$15,Instructions!$I$15,IF(Y147&gt;Instructions!$H$16,Instructions!$I$16,IF(Y147&gt;Instructions!$H$17,Instructions!$I$17,Instructions!$I$18))))</f>
        <v>IL-Landslide</v>
      </c>
      <c r="AD147" s="226">
        <f t="shared" si="39"/>
        <v>0</v>
      </c>
      <c r="AE147" s="226">
        <f t="shared" si="40"/>
        <v>72384</v>
      </c>
      <c r="AF147" s="227">
        <f t="shared" si="41"/>
        <v>66</v>
      </c>
      <c r="AG147" s="341">
        <f t="shared" si="42"/>
        <v>72450</v>
      </c>
    </row>
    <row r="148" spans="1:34">
      <c r="A148" s="352" t="s">
        <v>76</v>
      </c>
      <c r="B148" s="427">
        <v>10</v>
      </c>
      <c r="C148" s="220" t="s">
        <v>12</v>
      </c>
      <c r="D148" s="379" t="s">
        <v>783</v>
      </c>
      <c r="E148" s="379"/>
      <c r="F148" s="379"/>
      <c r="G148"/>
      <c r="H148"/>
      <c r="I148"/>
      <c r="J148" t="str">
        <f t="shared" si="31"/>
        <v>IL-Yes</v>
      </c>
      <c r="K148" t="str">
        <f t="shared" si="32"/>
        <v>IL-No</v>
      </c>
      <c r="L148" s="354">
        <v>1</v>
      </c>
      <c r="M148" s="354">
        <v>1</v>
      </c>
      <c r="N148" s="255">
        <v>2014</v>
      </c>
      <c r="O148" s="416">
        <v>91136</v>
      </c>
      <c r="P148" s="416"/>
      <c r="Q148" s="416">
        <v>95992</v>
      </c>
      <c r="R148" s="416"/>
      <c r="S148" s="416">
        <v>0</v>
      </c>
      <c r="T148" s="353">
        <f t="shared" si="33"/>
        <v>187128</v>
      </c>
      <c r="U148" s="228"/>
      <c r="V148" s="221">
        <f t="shared" si="34"/>
        <v>95992</v>
      </c>
      <c r="W148" s="388">
        <f t="shared" si="29"/>
        <v>91136</v>
      </c>
      <c r="X148" s="222">
        <f t="shared" si="35"/>
        <v>2.5950151767773929E-2</v>
      </c>
      <c r="Y148" s="421">
        <f t="shared" si="43"/>
        <v>2.5950151767773877E-2</v>
      </c>
      <c r="Z148" s="223">
        <f t="shared" si="36"/>
        <v>0.51297507588388691</v>
      </c>
      <c r="AA148" s="224" t="str">
        <f t="shared" si="37"/>
        <v>IL-No</v>
      </c>
      <c r="AB148" s="225" t="str">
        <f t="shared" si="38"/>
        <v>IL-Rep</v>
      </c>
      <c r="AC148" s="422" t="str">
        <f>C148&amp;"-"&amp;IF(Y148&gt;Instructions!$H$14,Instructions!$I$14,IF(Y148&gt;Instructions!$H$15,Instructions!$I$15,IF(Y148&gt;Instructions!$H$16,Instructions!$I$16,IF(Y148&gt;Instructions!$H$17,Instructions!$I$17,Instructions!$I$18))))</f>
        <v>IL-Tight</v>
      </c>
      <c r="AD148" s="226">
        <f t="shared" si="39"/>
        <v>91136</v>
      </c>
      <c r="AE148" s="226">
        <f t="shared" si="40"/>
        <v>0</v>
      </c>
      <c r="AF148" s="227">
        <f t="shared" si="41"/>
        <v>0</v>
      </c>
      <c r="AG148" s="341">
        <f t="shared" si="42"/>
        <v>91136</v>
      </c>
    </row>
    <row r="149" spans="1:34">
      <c r="A149" s="352" t="s">
        <v>76</v>
      </c>
      <c r="B149" s="427">
        <v>11</v>
      </c>
      <c r="C149" s="220" t="s">
        <v>12</v>
      </c>
      <c r="D149" s="379" t="s">
        <v>503</v>
      </c>
      <c r="E149"/>
      <c r="F149"/>
      <c r="G149"/>
      <c r="H149"/>
      <c r="I149"/>
      <c r="J149" t="str">
        <f t="shared" si="31"/>
        <v>IL-Yes</v>
      </c>
      <c r="K149" t="str">
        <f t="shared" si="32"/>
        <v>IL-Yes</v>
      </c>
      <c r="L149" s="417"/>
      <c r="M149" s="417"/>
      <c r="N149" s="255">
        <v>2012</v>
      </c>
      <c r="O149" s="416">
        <v>93436</v>
      </c>
      <c r="P149" s="416"/>
      <c r="Q149" s="416">
        <v>81335</v>
      </c>
      <c r="R149" s="416"/>
      <c r="S149" s="416">
        <v>1</v>
      </c>
      <c r="T149" s="353">
        <f t="shared" si="33"/>
        <v>174772</v>
      </c>
      <c r="U149" s="228"/>
      <c r="V149" s="221">
        <f t="shared" si="34"/>
        <v>93436</v>
      </c>
      <c r="W149" s="388">
        <f t="shared" si="29"/>
        <v>81335</v>
      </c>
      <c r="X149" s="222">
        <f t="shared" si="35"/>
        <v>6.9239175835808006E-2</v>
      </c>
      <c r="Y149" s="421">
        <f t="shared" si="43"/>
        <v>6.9238779667223638E-2</v>
      </c>
      <c r="Z149" s="223">
        <f t="shared" si="36"/>
        <v>0.53461652896344958</v>
      </c>
      <c r="AA149" s="224" t="str">
        <f t="shared" si="37"/>
        <v>IL-No</v>
      </c>
      <c r="AB149" s="225" t="str">
        <f t="shared" si="38"/>
        <v>IL-Dem</v>
      </c>
      <c r="AC149" s="422" t="str">
        <f>C149&amp;"-"&amp;IF(Y149&gt;Instructions!$H$14,Instructions!$I$14,IF(Y149&gt;Instructions!$H$15,Instructions!$I$15,IF(Y149&gt;Instructions!$H$16,Instructions!$I$16,IF(Y149&gt;Instructions!$H$17,Instructions!$I$17,Instructions!$I$18))))</f>
        <v>IL-Competitive</v>
      </c>
      <c r="AD149" s="226">
        <f t="shared" si="39"/>
        <v>0</v>
      </c>
      <c r="AE149" s="226">
        <f t="shared" si="40"/>
        <v>81335</v>
      </c>
      <c r="AF149" s="227">
        <f t="shared" si="41"/>
        <v>1</v>
      </c>
      <c r="AG149" s="341">
        <f t="shared" si="42"/>
        <v>81336</v>
      </c>
      <c r="AH149" s="380"/>
    </row>
    <row r="150" spans="1:34">
      <c r="A150" s="352" t="s">
        <v>76</v>
      </c>
      <c r="B150" s="427">
        <v>12</v>
      </c>
      <c r="C150" s="220" t="s">
        <v>12</v>
      </c>
      <c r="D150" s="379" t="s">
        <v>784</v>
      </c>
      <c r="E150" s="379"/>
      <c r="F150"/>
      <c r="G150"/>
      <c r="H150"/>
      <c r="I150"/>
      <c r="J150" t="str">
        <f t="shared" si="31"/>
        <v>IL-Yes</v>
      </c>
      <c r="K150" t="str">
        <f t="shared" si="32"/>
        <v>IL-No</v>
      </c>
      <c r="L150" s="417">
        <v>1</v>
      </c>
      <c r="M150" s="417">
        <v>1</v>
      </c>
      <c r="N150" s="255">
        <v>2014</v>
      </c>
      <c r="O150" s="416">
        <v>87860</v>
      </c>
      <c r="P150" s="416"/>
      <c r="Q150" s="416">
        <v>110038</v>
      </c>
      <c r="R150" s="416"/>
      <c r="S150" s="416">
        <v>11840</v>
      </c>
      <c r="T150" s="353">
        <f t="shared" si="33"/>
        <v>209738</v>
      </c>
      <c r="U150" s="228"/>
      <c r="V150" s="221">
        <f t="shared" si="34"/>
        <v>110038</v>
      </c>
      <c r="W150" s="388">
        <f t="shared" si="29"/>
        <v>87860</v>
      </c>
      <c r="X150" s="222">
        <f t="shared" si="35"/>
        <v>0.11206783292403157</v>
      </c>
      <c r="Y150" s="421">
        <f t="shared" si="43"/>
        <v>0.10574144885523845</v>
      </c>
      <c r="Z150" s="223">
        <f t="shared" si="36"/>
        <v>0.52464503332729406</v>
      </c>
      <c r="AA150" s="224" t="str">
        <f t="shared" si="37"/>
        <v>IL-No</v>
      </c>
      <c r="AB150" s="225" t="str">
        <f t="shared" si="38"/>
        <v>IL-Rep</v>
      </c>
      <c r="AC150" s="422" t="str">
        <f>C150&amp;"-"&amp;IF(Y150&gt;Instructions!$H$14,Instructions!$I$14,IF(Y150&gt;Instructions!$H$15,Instructions!$I$15,IF(Y150&gt;Instructions!$H$16,Instructions!$I$16,IF(Y150&gt;Instructions!$H$17,Instructions!$I$17,Instructions!$I$18))))</f>
        <v>IL-Opportunity</v>
      </c>
      <c r="AD150" s="226">
        <f t="shared" si="39"/>
        <v>87860</v>
      </c>
      <c r="AE150" s="226">
        <f t="shared" si="40"/>
        <v>0</v>
      </c>
      <c r="AF150" s="227">
        <f t="shared" si="41"/>
        <v>11840</v>
      </c>
      <c r="AG150" s="341">
        <f t="shared" si="42"/>
        <v>99700</v>
      </c>
    </row>
    <row r="151" spans="1:34">
      <c r="A151" s="352" t="s">
        <v>76</v>
      </c>
      <c r="B151" s="427">
        <v>13</v>
      </c>
      <c r="C151" s="220" t="s">
        <v>12</v>
      </c>
      <c r="D151" s="379" t="s">
        <v>504</v>
      </c>
      <c r="E151" s="379"/>
      <c r="F151"/>
      <c r="G151"/>
      <c r="H151"/>
      <c r="I151"/>
      <c r="J151" t="str">
        <f t="shared" si="31"/>
        <v>IL-Yes</v>
      </c>
      <c r="K151" t="str">
        <f t="shared" si="32"/>
        <v>IL-Yes</v>
      </c>
      <c r="L151" s="352"/>
      <c r="M151" s="352"/>
      <c r="N151" s="255">
        <v>2012</v>
      </c>
      <c r="O151" s="416">
        <v>86935</v>
      </c>
      <c r="P151" s="416"/>
      <c r="Q151" s="416">
        <v>123337</v>
      </c>
      <c r="R151" s="416"/>
      <c r="S151" s="416">
        <v>0</v>
      </c>
      <c r="T151" s="353">
        <f t="shared" si="33"/>
        <v>210272</v>
      </c>
      <c r="U151" s="228"/>
      <c r="V151" s="221">
        <f t="shared" si="34"/>
        <v>123337</v>
      </c>
      <c r="W151" s="388">
        <f t="shared" si="29"/>
        <v>86935</v>
      </c>
      <c r="X151" s="222">
        <f t="shared" si="35"/>
        <v>0.17311862730178054</v>
      </c>
      <c r="Y151" s="421">
        <f t="shared" si="43"/>
        <v>0.17311862730178057</v>
      </c>
      <c r="Z151" s="223">
        <f t="shared" si="36"/>
        <v>0.58655931365089031</v>
      </c>
      <c r="AA151" s="224" t="str">
        <f t="shared" si="37"/>
        <v>IL-No</v>
      </c>
      <c r="AB151" s="225" t="str">
        <f t="shared" si="38"/>
        <v>IL-Rep</v>
      </c>
      <c r="AC151" s="422" t="str">
        <f>C151&amp;"-"&amp;IF(Y151&gt;Instructions!$H$14,Instructions!$I$14,IF(Y151&gt;Instructions!$H$15,Instructions!$I$15,IF(Y151&gt;Instructions!$H$16,Instructions!$I$16,IF(Y151&gt;Instructions!$H$17,Instructions!$I$17,Instructions!$I$18))))</f>
        <v>IL-Opportunity</v>
      </c>
      <c r="AD151" s="226">
        <f t="shared" si="39"/>
        <v>86935</v>
      </c>
      <c r="AE151" s="226">
        <f t="shared" si="40"/>
        <v>0</v>
      </c>
      <c r="AF151" s="227">
        <f t="shared" si="41"/>
        <v>0</v>
      </c>
      <c r="AG151" s="341">
        <f t="shared" si="42"/>
        <v>86935</v>
      </c>
    </row>
    <row r="152" spans="1:34">
      <c r="A152" s="352" t="s">
        <v>76</v>
      </c>
      <c r="B152" s="427">
        <v>14</v>
      </c>
      <c r="C152" s="220" t="s">
        <v>12</v>
      </c>
      <c r="D152" s="379" t="s">
        <v>505</v>
      </c>
      <c r="E152" s="379"/>
      <c r="F152"/>
      <c r="G152"/>
      <c r="H152"/>
      <c r="I152"/>
      <c r="J152" t="str">
        <f t="shared" si="31"/>
        <v>IL-Yes</v>
      </c>
      <c r="K152" t="str">
        <f t="shared" si="32"/>
        <v>IL-Yes</v>
      </c>
      <c r="L152" s="415"/>
      <c r="M152" s="415"/>
      <c r="N152" s="255">
        <v>2010</v>
      </c>
      <c r="O152" s="416">
        <v>76861</v>
      </c>
      <c r="P152" s="416"/>
      <c r="Q152" s="416">
        <v>145369</v>
      </c>
      <c r="R152" s="416"/>
      <c r="S152" s="416">
        <v>0</v>
      </c>
      <c r="T152" s="353">
        <f t="shared" si="33"/>
        <v>222230</v>
      </c>
      <c r="U152" s="228"/>
      <c r="V152" s="221">
        <f t="shared" si="34"/>
        <v>145369</v>
      </c>
      <c r="W152" s="388">
        <f t="shared" si="29"/>
        <v>76861</v>
      </c>
      <c r="X152" s="222">
        <f t="shared" si="35"/>
        <v>0.30827521036763711</v>
      </c>
      <c r="Y152" s="421">
        <f t="shared" si="43"/>
        <v>0.30827521036763716</v>
      </c>
      <c r="Z152" s="223">
        <f t="shared" si="36"/>
        <v>0.65413760518381858</v>
      </c>
      <c r="AA152" s="224" t="str">
        <f t="shared" si="37"/>
        <v>IL-No</v>
      </c>
      <c r="AB152" s="225" t="str">
        <f t="shared" si="38"/>
        <v>IL-Rep</v>
      </c>
      <c r="AC152" s="422" t="str">
        <f>C152&amp;"-"&amp;IF(Y152&gt;Instructions!$H$14,Instructions!$I$14,IF(Y152&gt;Instructions!$H$15,Instructions!$I$15,IF(Y152&gt;Instructions!$H$16,Instructions!$I$16,IF(Y152&gt;Instructions!$H$17,Instructions!$I$17,Instructions!$I$18))))</f>
        <v>IL-Landslide</v>
      </c>
      <c r="AD152" s="226">
        <f t="shared" si="39"/>
        <v>76861</v>
      </c>
      <c r="AE152" s="226">
        <f t="shared" si="40"/>
        <v>0</v>
      </c>
      <c r="AF152" s="227">
        <f t="shared" si="41"/>
        <v>0</v>
      </c>
      <c r="AG152" s="341">
        <f t="shared" si="42"/>
        <v>76861</v>
      </c>
      <c r="AH152" s="380"/>
    </row>
    <row r="153" spans="1:34">
      <c r="A153" s="352" t="s">
        <v>76</v>
      </c>
      <c r="B153" s="427">
        <v>15</v>
      </c>
      <c r="C153" s="220" t="s">
        <v>12</v>
      </c>
      <c r="D153" s="379" t="s">
        <v>506</v>
      </c>
      <c r="E153"/>
      <c r="F153"/>
      <c r="G153"/>
      <c r="H153"/>
      <c r="I153"/>
      <c r="J153" t="str">
        <f t="shared" si="31"/>
        <v>IL-Yes</v>
      </c>
      <c r="K153" t="str">
        <f t="shared" si="32"/>
        <v>IL-Yes</v>
      </c>
      <c r="L153" s="415"/>
      <c r="M153" s="415"/>
      <c r="N153" s="255">
        <v>1996</v>
      </c>
      <c r="O153" s="416">
        <v>55652</v>
      </c>
      <c r="P153" s="416"/>
      <c r="Q153" s="416">
        <v>166274</v>
      </c>
      <c r="R153" s="416"/>
      <c r="S153" s="416">
        <v>0</v>
      </c>
      <c r="T153" s="353">
        <f t="shared" si="33"/>
        <v>221926</v>
      </c>
      <c r="U153" s="396"/>
      <c r="V153" s="221">
        <f t="shared" si="34"/>
        <v>166274</v>
      </c>
      <c r="W153" s="388">
        <f t="shared" si="29"/>
        <v>55652</v>
      </c>
      <c r="X153" s="222">
        <f t="shared" si="35"/>
        <v>0.49846345178122436</v>
      </c>
      <c r="Y153" s="421">
        <f t="shared" si="43"/>
        <v>0.49846345178122436</v>
      </c>
      <c r="Z153" s="223">
        <f t="shared" si="36"/>
        <v>0.74923172589061215</v>
      </c>
      <c r="AA153" s="224" t="str">
        <f t="shared" si="37"/>
        <v>IL-No</v>
      </c>
      <c r="AB153" s="225" t="str">
        <f t="shared" si="38"/>
        <v>IL-Rep</v>
      </c>
      <c r="AC153" s="422" t="str">
        <f>C153&amp;"-"&amp;IF(Y153&gt;Instructions!$H$14,Instructions!$I$14,IF(Y153&gt;Instructions!$H$15,Instructions!$I$15,IF(Y153&gt;Instructions!$H$16,Instructions!$I$16,IF(Y153&gt;Instructions!$H$17,Instructions!$I$17,Instructions!$I$18))))</f>
        <v>IL-No contest</v>
      </c>
      <c r="AD153" s="226">
        <f t="shared" si="39"/>
        <v>55652</v>
      </c>
      <c r="AE153" s="226">
        <f t="shared" si="40"/>
        <v>0</v>
      </c>
      <c r="AF153" s="227">
        <f t="shared" si="41"/>
        <v>0</v>
      </c>
      <c r="AG153" s="341">
        <f t="shared" si="42"/>
        <v>55652</v>
      </c>
      <c r="AH153" s="413">
        <f>SUM(AG135:AG153)</f>
        <v>1279145</v>
      </c>
    </row>
    <row r="154" spans="1:34">
      <c r="A154" s="352" t="s">
        <v>76</v>
      </c>
      <c r="B154" s="427">
        <v>16</v>
      </c>
      <c r="C154" s="220" t="s">
        <v>12</v>
      </c>
      <c r="D154" s="379" t="s">
        <v>507</v>
      </c>
      <c r="E154"/>
      <c r="F154" s="379"/>
      <c r="G154"/>
      <c r="H154"/>
      <c r="I154"/>
      <c r="J154" t="str">
        <f t="shared" si="31"/>
        <v>IL-Yes</v>
      </c>
      <c r="K154" t="str">
        <f t="shared" si="32"/>
        <v>IL-Yes</v>
      </c>
      <c r="L154" s="415"/>
      <c r="M154" s="415"/>
      <c r="N154" s="255">
        <v>2010</v>
      </c>
      <c r="O154" s="416">
        <v>63810</v>
      </c>
      <c r="P154" s="416"/>
      <c r="Q154" s="416">
        <v>153388</v>
      </c>
      <c r="R154" s="416"/>
      <c r="S154" s="416">
        <v>0</v>
      </c>
      <c r="T154" s="353">
        <f t="shared" si="33"/>
        <v>217198</v>
      </c>
      <c r="U154" s="396"/>
      <c r="V154" s="221">
        <f t="shared" si="34"/>
        <v>153388</v>
      </c>
      <c r="W154" s="388">
        <f t="shared" si="29"/>
        <v>63810</v>
      </c>
      <c r="X154" s="222">
        <f t="shared" si="35"/>
        <v>0.41242552878019134</v>
      </c>
      <c r="Y154" s="421">
        <f t="shared" si="43"/>
        <v>0.4124255287801914</v>
      </c>
      <c r="Z154" s="223">
        <f t="shared" si="36"/>
        <v>0.70621276439009573</v>
      </c>
      <c r="AA154" s="224" t="str">
        <f t="shared" si="37"/>
        <v>IL-No</v>
      </c>
      <c r="AB154" s="225" t="str">
        <f t="shared" si="38"/>
        <v>IL-Rep</v>
      </c>
      <c r="AC154" s="422" t="str">
        <f>C154&amp;"-"&amp;IF(Y154&gt;Instructions!$H$14,Instructions!$I$14,IF(Y154&gt;Instructions!$H$15,Instructions!$I$15,IF(Y154&gt;Instructions!$H$16,Instructions!$I$16,IF(Y154&gt;Instructions!$H$17,Instructions!$I$17,Instructions!$I$18))))</f>
        <v>IL-No contest</v>
      </c>
      <c r="AD154" s="226">
        <f t="shared" si="39"/>
        <v>63810</v>
      </c>
      <c r="AE154" s="226">
        <f t="shared" si="40"/>
        <v>0</v>
      </c>
      <c r="AF154" s="227">
        <f t="shared" si="41"/>
        <v>0</v>
      </c>
      <c r="AG154" s="341">
        <f t="shared" si="42"/>
        <v>63810</v>
      </c>
    </row>
    <row r="155" spans="1:34">
      <c r="A155" s="352" t="s">
        <v>76</v>
      </c>
      <c r="B155" s="427">
        <v>17</v>
      </c>
      <c r="C155" s="220" t="s">
        <v>12</v>
      </c>
      <c r="D155" s="379" t="s">
        <v>508</v>
      </c>
      <c r="E155" s="379" t="s">
        <v>351</v>
      </c>
      <c r="F155" s="379"/>
      <c r="G155" s="379"/>
      <c r="H155"/>
      <c r="I155"/>
      <c r="J155" t="str">
        <f t="shared" si="31"/>
        <v>IL-Yes</v>
      </c>
      <c r="K155" t="str">
        <f t="shared" si="32"/>
        <v>IL-Yes</v>
      </c>
      <c r="L155" s="417"/>
      <c r="M155" s="417"/>
      <c r="N155" s="255">
        <v>2012</v>
      </c>
      <c r="O155" s="416">
        <v>110560</v>
      </c>
      <c r="P155" s="416"/>
      <c r="Q155" s="416">
        <v>88785</v>
      </c>
      <c r="R155" s="416"/>
      <c r="S155" s="416">
        <v>16</v>
      </c>
      <c r="T155" s="353">
        <f t="shared" si="33"/>
        <v>199361</v>
      </c>
      <c r="U155" s="228"/>
      <c r="V155" s="221">
        <f t="shared" si="34"/>
        <v>110560</v>
      </c>
      <c r="W155" s="388">
        <f t="shared" si="29"/>
        <v>88785</v>
      </c>
      <c r="X155" s="222">
        <f t="shared" si="35"/>
        <v>0.10923273721437708</v>
      </c>
      <c r="Y155" s="421">
        <f t="shared" si="43"/>
        <v>0.10922397058602235</v>
      </c>
      <c r="Z155" s="223">
        <f t="shared" si="36"/>
        <v>0.55457185708338141</v>
      </c>
      <c r="AA155" s="224" t="str">
        <f t="shared" si="37"/>
        <v>IL-No</v>
      </c>
      <c r="AB155" s="225" t="str">
        <f t="shared" si="38"/>
        <v>IL-Dem</v>
      </c>
      <c r="AC155" s="422" t="str">
        <f>C155&amp;"-"&amp;IF(Y155&gt;Instructions!$H$14,Instructions!$I$14,IF(Y155&gt;Instructions!$H$15,Instructions!$I$15,IF(Y155&gt;Instructions!$H$16,Instructions!$I$16,IF(Y155&gt;Instructions!$H$17,Instructions!$I$17,Instructions!$I$18))))</f>
        <v>IL-Opportunity</v>
      </c>
      <c r="AD155" s="226">
        <f t="shared" si="39"/>
        <v>0</v>
      </c>
      <c r="AE155" s="226">
        <f t="shared" si="40"/>
        <v>88785</v>
      </c>
      <c r="AF155" s="227">
        <f t="shared" si="41"/>
        <v>16</v>
      </c>
      <c r="AG155" s="341">
        <f t="shared" si="42"/>
        <v>88801</v>
      </c>
    </row>
    <row r="156" spans="1:34">
      <c r="A156" s="352" t="s">
        <v>76</v>
      </c>
      <c r="B156" s="427">
        <v>18</v>
      </c>
      <c r="C156" s="220" t="s">
        <v>12</v>
      </c>
      <c r="D156" s="379" t="s">
        <v>509</v>
      </c>
      <c r="E156" s="379"/>
      <c r="F156"/>
      <c r="G156" s="379"/>
      <c r="H156"/>
      <c r="I156"/>
      <c r="J156" t="str">
        <f t="shared" si="31"/>
        <v>IL-Yes</v>
      </c>
      <c r="K156" t="str">
        <f t="shared" si="32"/>
        <v>IL-Yes</v>
      </c>
      <c r="L156" s="415"/>
      <c r="M156" s="415"/>
      <c r="N156" s="255">
        <v>2008</v>
      </c>
      <c r="O156" s="416">
        <v>62377</v>
      </c>
      <c r="P156" s="416"/>
      <c r="Q156" s="416">
        <v>184363</v>
      </c>
      <c r="R156" s="416"/>
      <c r="S156" s="416">
        <v>0</v>
      </c>
      <c r="T156" s="353">
        <f t="shared" si="33"/>
        <v>246740</v>
      </c>
      <c r="U156" s="228"/>
      <c r="V156" s="221">
        <f t="shared" si="34"/>
        <v>184363</v>
      </c>
      <c r="W156" s="388">
        <f t="shared" si="29"/>
        <v>62377</v>
      </c>
      <c r="X156" s="222">
        <f t="shared" si="35"/>
        <v>0.49439085677231093</v>
      </c>
      <c r="Y156" s="421">
        <f t="shared" si="43"/>
        <v>0.49439085677231098</v>
      </c>
      <c r="Z156" s="223">
        <f t="shared" si="36"/>
        <v>0.74719542838615549</v>
      </c>
      <c r="AA156" s="224" t="str">
        <f t="shared" si="37"/>
        <v>IL-No</v>
      </c>
      <c r="AB156" s="225" t="str">
        <f t="shared" si="38"/>
        <v>IL-Rep</v>
      </c>
      <c r="AC156" s="422" t="str">
        <f>C156&amp;"-"&amp;IF(Y156&gt;Instructions!$H$14,Instructions!$I$14,IF(Y156&gt;Instructions!$H$15,Instructions!$I$15,IF(Y156&gt;Instructions!$H$16,Instructions!$I$16,IF(Y156&gt;Instructions!$H$17,Instructions!$I$17,Instructions!$I$18))))</f>
        <v>IL-No contest</v>
      </c>
      <c r="AD156" s="226">
        <f t="shared" si="39"/>
        <v>62377</v>
      </c>
      <c r="AE156" s="226">
        <f t="shared" si="40"/>
        <v>0</v>
      </c>
      <c r="AF156" s="227">
        <f t="shared" si="41"/>
        <v>0</v>
      </c>
      <c r="AG156" s="341">
        <f t="shared" si="42"/>
        <v>62377</v>
      </c>
    </row>
    <row r="157" spans="1:34">
      <c r="A157" s="352" t="s">
        <v>77</v>
      </c>
      <c r="B157" s="427">
        <v>1</v>
      </c>
      <c r="C157" s="220" t="s">
        <v>13</v>
      </c>
      <c r="D157" s="379" t="s">
        <v>510</v>
      </c>
      <c r="E157"/>
      <c r="F157" s="379"/>
      <c r="G157"/>
      <c r="H157" s="379"/>
      <c r="I157"/>
      <c r="J157" t="str">
        <f t="shared" si="31"/>
        <v>IN-Yes</v>
      </c>
      <c r="K157" t="str">
        <f t="shared" si="32"/>
        <v>IN-Yes</v>
      </c>
      <c r="L157" s="417"/>
      <c r="M157" s="417"/>
      <c r="N157" s="255">
        <v>1984</v>
      </c>
      <c r="O157" s="416">
        <v>86579</v>
      </c>
      <c r="P157" s="416"/>
      <c r="Q157" s="416">
        <v>51000</v>
      </c>
      <c r="R157" s="416"/>
      <c r="S157" s="416">
        <v>4714</v>
      </c>
      <c r="T157" s="353">
        <f t="shared" si="33"/>
        <v>142293</v>
      </c>
      <c r="U157" s="228"/>
      <c r="V157" s="221">
        <f t="shared" si="34"/>
        <v>86579</v>
      </c>
      <c r="W157" s="388">
        <f t="shared" ref="W157:W220" si="44">LARGE(O157:S157, 2)</f>
        <v>51000</v>
      </c>
      <c r="X157" s="222">
        <f t="shared" si="35"/>
        <v>0.25860778171087156</v>
      </c>
      <c r="Y157" s="421">
        <f t="shared" si="43"/>
        <v>0.25004040957742124</v>
      </c>
      <c r="Z157" s="223">
        <f t="shared" si="36"/>
        <v>0.60845579192230115</v>
      </c>
      <c r="AA157" s="224" t="str">
        <f t="shared" si="37"/>
        <v>IN-No</v>
      </c>
      <c r="AB157" s="225" t="str">
        <f t="shared" si="38"/>
        <v>IN-Dem</v>
      </c>
      <c r="AC157" s="422" t="str">
        <f>C157&amp;"-"&amp;IF(Y157&gt;Instructions!$H$14,Instructions!$I$14,IF(Y157&gt;Instructions!$H$15,Instructions!$I$15,IF(Y157&gt;Instructions!$H$16,Instructions!$I$16,IF(Y157&gt;Instructions!$H$17,Instructions!$I$17,Instructions!$I$18))))</f>
        <v>IN-Landslide</v>
      </c>
      <c r="AD157" s="226">
        <f t="shared" si="39"/>
        <v>0</v>
      </c>
      <c r="AE157" s="226">
        <f t="shared" si="40"/>
        <v>51000</v>
      </c>
      <c r="AF157" s="227">
        <f t="shared" si="41"/>
        <v>4714</v>
      </c>
      <c r="AG157" s="341">
        <f t="shared" si="42"/>
        <v>55714</v>
      </c>
      <c r="AH157" s="380"/>
    </row>
    <row r="158" spans="1:34">
      <c r="A158" s="352" t="s">
        <v>77</v>
      </c>
      <c r="B158" s="427">
        <v>2</v>
      </c>
      <c r="C158" s="220" t="s">
        <v>13</v>
      </c>
      <c r="D158" s="379" t="s">
        <v>511</v>
      </c>
      <c r="E158" t="s">
        <v>352</v>
      </c>
      <c r="F158"/>
      <c r="G158" s="379"/>
      <c r="H158"/>
      <c r="I158"/>
      <c r="J158" t="str">
        <f t="shared" si="31"/>
        <v>IN-Yes</v>
      </c>
      <c r="K158" t="str">
        <f t="shared" si="32"/>
        <v>IN-Yes</v>
      </c>
      <c r="L158" s="415"/>
      <c r="M158" s="415"/>
      <c r="N158" s="255">
        <v>2012</v>
      </c>
      <c r="O158" s="416">
        <v>55590</v>
      </c>
      <c r="P158" s="416"/>
      <c r="Q158" s="416">
        <v>85583</v>
      </c>
      <c r="R158" s="416"/>
      <c r="S158" s="416">
        <v>4027</v>
      </c>
      <c r="T158" s="353">
        <f t="shared" si="33"/>
        <v>145200</v>
      </c>
      <c r="U158" s="228"/>
      <c r="V158" s="221">
        <f t="shared" si="34"/>
        <v>85583</v>
      </c>
      <c r="W158" s="388">
        <f t="shared" si="44"/>
        <v>55590</v>
      </c>
      <c r="X158" s="222">
        <f t="shared" si="35"/>
        <v>0.21245563953447189</v>
      </c>
      <c r="Y158" s="421">
        <f t="shared" si="43"/>
        <v>0.2065633608815427</v>
      </c>
      <c r="Z158" s="223">
        <f t="shared" si="36"/>
        <v>0.58941460055096417</v>
      </c>
      <c r="AA158" s="224" t="str">
        <f t="shared" si="37"/>
        <v>IN-No</v>
      </c>
      <c r="AB158" s="225" t="str">
        <f t="shared" si="38"/>
        <v>IN-Rep</v>
      </c>
      <c r="AC158" s="422" t="str">
        <f>C158&amp;"-"&amp;IF(Y158&gt;Instructions!$H$14,Instructions!$I$14,IF(Y158&gt;Instructions!$H$15,Instructions!$I$15,IF(Y158&gt;Instructions!$H$16,Instructions!$I$16,IF(Y158&gt;Instructions!$H$17,Instructions!$I$17,Instructions!$I$18))))</f>
        <v>IN-Landslide</v>
      </c>
      <c r="AD158" s="226">
        <f t="shared" si="39"/>
        <v>55590</v>
      </c>
      <c r="AE158" s="226">
        <f t="shared" si="40"/>
        <v>0</v>
      </c>
      <c r="AF158" s="227">
        <f t="shared" si="41"/>
        <v>4027</v>
      </c>
      <c r="AG158" s="341">
        <f t="shared" si="42"/>
        <v>59617</v>
      </c>
    </row>
    <row r="159" spans="1:34">
      <c r="A159" s="352" t="s">
        <v>77</v>
      </c>
      <c r="B159" s="427">
        <v>3</v>
      </c>
      <c r="C159" s="220" t="s">
        <v>13</v>
      </c>
      <c r="D159" s="379" t="s">
        <v>512</v>
      </c>
      <c r="E159"/>
      <c r="F159"/>
      <c r="G159" s="379"/>
      <c r="H159"/>
      <c r="I159"/>
      <c r="J159" t="str">
        <f t="shared" si="31"/>
        <v>IN-Yes</v>
      </c>
      <c r="K159" t="str">
        <f t="shared" si="32"/>
        <v>IN-Yes</v>
      </c>
      <c r="L159" s="415"/>
      <c r="M159" s="415"/>
      <c r="N159" s="255">
        <v>2010</v>
      </c>
      <c r="O159" s="416">
        <v>39771</v>
      </c>
      <c r="P159" s="416"/>
      <c r="Q159" s="416">
        <v>97892</v>
      </c>
      <c r="R159" s="416"/>
      <c r="S159" s="416">
        <v>11130</v>
      </c>
      <c r="T159" s="353">
        <f t="shared" si="33"/>
        <v>148793</v>
      </c>
      <c r="U159" s="228"/>
      <c r="V159" s="221">
        <f t="shared" si="34"/>
        <v>97892</v>
      </c>
      <c r="W159" s="388">
        <f t="shared" si="44"/>
        <v>39771</v>
      </c>
      <c r="X159" s="222">
        <f t="shared" si="35"/>
        <v>0.42219768565264448</v>
      </c>
      <c r="Y159" s="421">
        <f t="shared" si="43"/>
        <v>0.39061649405549992</v>
      </c>
      <c r="Z159" s="390">
        <f t="shared" si="36"/>
        <v>0.65790729402592862</v>
      </c>
      <c r="AA159" s="391" t="str">
        <f t="shared" si="37"/>
        <v>IN-No</v>
      </c>
      <c r="AB159" s="225" t="str">
        <f t="shared" si="38"/>
        <v>IN-Rep</v>
      </c>
      <c r="AC159" s="422" t="str">
        <f>C159&amp;"-"&amp;IF(Y159&gt;Instructions!$H$14,Instructions!$I$14,IF(Y159&gt;Instructions!$H$15,Instructions!$I$15,IF(Y159&gt;Instructions!$H$16,Instructions!$I$16,IF(Y159&gt;Instructions!$H$17,Instructions!$I$17,Instructions!$I$18))))</f>
        <v>IN-Landslide</v>
      </c>
      <c r="AD159" s="226">
        <f t="shared" si="39"/>
        <v>39771</v>
      </c>
      <c r="AE159" s="226">
        <f t="shared" si="40"/>
        <v>0</v>
      </c>
      <c r="AF159" s="227">
        <f t="shared" si="41"/>
        <v>11130</v>
      </c>
      <c r="AG159" s="341">
        <f t="shared" si="42"/>
        <v>50901</v>
      </c>
    </row>
    <row r="160" spans="1:34">
      <c r="A160" s="352" t="s">
        <v>77</v>
      </c>
      <c r="B160" s="427">
        <v>4</v>
      </c>
      <c r="C160" s="220" t="s">
        <v>13</v>
      </c>
      <c r="D160" s="379" t="s">
        <v>513</v>
      </c>
      <c r="E160"/>
      <c r="F160" s="381"/>
      <c r="G160" s="379"/>
      <c r="H160"/>
      <c r="I160"/>
      <c r="J160" t="str">
        <f t="shared" si="31"/>
        <v>IN-Yes</v>
      </c>
      <c r="K160" t="str">
        <f t="shared" si="32"/>
        <v>IN-Yes</v>
      </c>
      <c r="L160" s="415"/>
      <c r="M160" s="415"/>
      <c r="N160" s="255">
        <v>2010</v>
      </c>
      <c r="O160" s="416">
        <v>47056</v>
      </c>
      <c r="P160" s="416"/>
      <c r="Q160" s="416">
        <v>94998</v>
      </c>
      <c r="R160" s="416"/>
      <c r="S160" s="416">
        <v>0</v>
      </c>
      <c r="T160" s="353">
        <f t="shared" si="33"/>
        <v>142054</v>
      </c>
      <c r="U160" s="228"/>
      <c r="V160" s="221">
        <f t="shared" si="34"/>
        <v>94998</v>
      </c>
      <c r="W160" s="388">
        <f t="shared" si="44"/>
        <v>47056</v>
      </c>
      <c r="X160" s="222">
        <f t="shared" si="35"/>
        <v>0.33749137651878863</v>
      </c>
      <c r="Y160" s="421">
        <f t="shared" si="43"/>
        <v>0.33749137651878858</v>
      </c>
      <c r="Z160" s="390">
        <f t="shared" si="36"/>
        <v>0.66874568825939429</v>
      </c>
      <c r="AA160" s="391" t="str">
        <f t="shared" si="37"/>
        <v>IN-No</v>
      </c>
      <c r="AB160" s="225" t="str">
        <f t="shared" si="38"/>
        <v>IN-Rep</v>
      </c>
      <c r="AC160" s="422" t="str">
        <f>C160&amp;"-"&amp;IF(Y160&gt;Instructions!$H$14,Instructions!$I$14,IF(Y160&gt;Instructions!$H$15,Instructions!$I$15,IF(Y160&gt;Instructions!$H$16,Instructions!$I$16,IF(Y160&gt;Instructions!$H$17,Instructions!$I$17,Instructions!$I$18))))</f>
        <v>IN-Landslide</v>
      </c>
      <c r="AD160" s="226">
        <f t="shared" si="39"/>
        <v>47056</v>
      </c>
      <c r="AE160" s="226">
        <f t="shared" si="40"/>
        <v>0</v>
      </c>
      <c r="AF160" s="227">
        <f t="shared" si="41"/>
        <v>0</v>
      </c>
      <c r="AG160" s="341">
        <f t="shared" si="42"/>
        <v>47056</v>
      </c>
    </row>
    <row r="161" spans="1:34">
      <c r="A161" s="352" t="s">
        <v>77</v>
      </c>
      <c r="B161" s="427">
        <v>5</v>
      </c>
      <c r="C161" s="220" t="s">
        <v>13</v>
      </c>
      <c r="D161" s="379" t="s">
        <v>514</v>
      </c>
      <c r="E161" t="s">
        <v>352</v>
      </c>
      <c r="F161"/>
      <c r="G161"/>
      <c r="H161"/>
      <c r="I161"/>
      <c r="J161" t="str">
        <f t="shared" si="31"/>
        <v>IN-Yes</v>
      </c>
      <c r="K161" t="str">
        <f t="shared" si="32"/>
        <v>IN-Yes</v>
      </c>
      <c r="L161" s="415"/>
      <c r="M161" s="415"/>
      <c r="N161" s="255">
        <v>2012</v>
      </c>
      <c r="O161" s="416">
        <v>49756</v>
      </c>
      <c r="P161" s="416"/>
      <c r="Q161" s="416">
        <v>105277</v>
      </c>
      <c r="R161" s="416"/>
      <c r="S161" s="416">
        <v>6407</v>
      </c>
      <c r="T161" s="353">
        <f t="shared" si="33"/>
        <v>161440</v>
      </c>
      <c r="U161" s="228"/>
      <c r="V161" s="221">
        <f t="shared" si="34"/>
        <v>105277</v>
      </c>
      <c r="W161" s="388">
        <f t="shared" si="44"/>
        <v>49756</v>
      </c>
      <c r="X161" s="222">
        <f t="shared" si="35"/>
        <v>0.35812375429747217</v>
      </c>
      <c r="Y161" s="421">
        <f t="shared" si="43"/>
        <v>0.34391105054509419</v>
      </c>
      <c r="Z161" s="223">
        <f t="shared" si="36"/>
        <v>0.65211223984142719</v>
      </c>
      <c r="AA161" s="224" t="str">
        <f t="shared" si="37"/>
        <v>IN-No</v>
      </c>
      <c r="AB161" s="225" t="str">
        <f t="shared" si="38"/>
        <v>IN-Rep</v>
      </c>
      <c r="AC161" s="422" t="str">
        <f>C161&amp;"-"&amp;IF(Y161&gt;Instructions!$H$14,Instructions!$I$14,IF(Y161&gt;Instructions!$H$15,Instructions!$I$15,IF(Y161&gt;Instructions!$H$16,Instructions!$I$16,IF(Y161&gt;Instructions!$H$17,Instructions!$I$17,Instructions!$I$18))))</f>
        <v>IN-Landslide</v>
      </c>
      <c r="AD161" s="226">
        <f t="shared" si="39"/>
        <v>49756</v>
      </c>
      <c r="AE161" s="226">
        <f t="shared" si="40"/>
        <v>0</v>
      </c>
      <c r="AF161" s="227">
        <f t="shared" si="41"/>
        <v>6407</v>
      </c>
      <c r="AG161" s="341">
        <f t="shared" si="42"/>
        <v>56163</v>
      </c>
    </row>
    <row r="162" spans="1:34">
      <c r="A162" s="352" t="s">
        <v>77</v>
      </c>
      <c r="B162" s="427">
        <v>6</v>
      </c>
      <c r="C162" s="220" t="s">
        <v>13</v>
      </c>
      <c r="D162" s="379" t="s">
        <v>515</v>
      </c>
      <c r="E162"/>
      <c r="F162"/>
      <c r="G162"/>
      <c r="H162"/>
      <c r="I162"/>
      <c r="J162" t="str">
        <f t="shared" si="31"/>
        <v>IN-Yes</v>
      </c>
      <c r="K162" t="str">
        <f t="shared" si="32"/>
        <v>IN-Yes</v>
      </c>
      <c r="L162" s="415"/>
      <c r="M162" s="415"/>
      <c r="N162" s="255">
        <v>2012</v>
      </c>
      <c r="O162" s="416">
        <v>45509</v>
      </c>
      <c r="P162" s="416"/>
      <c r="Q162" s="416">
        <v>102187</v>
      </c>
      <c r="R162" s="416"/>
      <c r="S162" s="416">
        <v>7375</v>
      </c>
      <c r="T162" s="353">
        <f t="shared" si="33"/>
        <v>155071</v>
      </c>
      <c r="U162" s="228"/>
      <c r="V162" s="221">
        <f t="shared" si="34"/>
        <v>102187</v>
      </c>
      <c r="W162" s="388">
        <f t="shared" si="44"/>
        <v>45509</v>
      </c>
      <c r="X162" s="222">
        <f t="shared" si="35"/>
        <v>0.38374769797421732</v>
      </c>
      <c r="Y162" s="421">
        <f t="shared" si="43"/>
        <v>0.36549709487911985</v>
      </c>
      <c r="Z162" s="223">
        <f t="shared" si="36"/>
        <v>0.65896911737204245</v>
      </c>
      <c r="AA162" s="224" t="str">
        <f t="shared" si="37"/>
        <v>IN-No</v>
      </c>
      <c r="AB162" s="225" t="str">
        <f t="shared" si="38"/>
        <v>IN-Rep</v>
      </c>
      <c r="AC162" s="422" t="str">
        <f>C162&amp;"-"&amp;IF(Y162&gt;Instructions!$H$14,Instructions!$I$14,IF(Y162&gt;Instructions!$H$15,Instructions!$I$15,IF(Y162&gt;Instructions!$H$16,Instructions!$I$16,IF(Y162&gt;Instructions!$H$17,Instructions!$I$17,Instructions!$I$18))))</f>
        <v>IN-Landslide</v>
      </c>
      <c r="AD162" s="226">
        <f t="shared" si="39"/>
        <v>45509</v>
      </c>
      <c r="AE162" s="226">
        <f t="shared" si="40"/>
        <v>0</v>
      </c>
      <c r="AF162" s="227">
        <f t="shared" si="41"/>
        <v>7375</v>
      </c>
      <c r="AG162" s="341">
        <f t="shared" si="42"/>
        <v>52884</v>
      </c>
      <c r="AH162" s="413">
        <f>SUM(AG154:AG162)</f>
        <v>537323</v>
      </c>
    </row>
    <row r="163" spans="1:34">
      <c r="A163" s="352" t="s">
        <v>77</v>
      </c>
      <c r="B163" s="427">
        <v>7</v>
      </c>
      <c r="C163" s="220" t="s">
        <v>13</v>
      </c>
      <c r="D163" s="379" t="s">
        <v>516</v>
      </c>
      <c r="E163"/>
      <c r="F163" t="s">
        <v>352</v>
      </c>
      <c r="G163"/>
      <c r="H163"/>
      <c r="I163"/>
      <c r="J163" t="str">
        <f t="shared" si="31"/>
        <v>IN-Yes</v>
      </c>
      <c r="K163" t="str">
        <f t="shared" si="32"/>
        <v>IN-Yes</v>
      </c>
      <c r="L163" s="417"/>
      <c r="M163" s="417"/>
      <c r="N163" s="255">
        <v>2007.5</v>
      </c>
      <c r="O163" s="416">
        <v>61443</v>
      </c>
      <c r="P163" s="416"/>
      <c r="Q163" s="416">
        <v>46887</v>
      </c>
      <c r="R163" s="416"/>
      <c r="S163" s="416">
        <v>3931</v>
      </c>
      <c r="T163" s="353">
        <f t="shared" si="33"/>
        <v>112261</v>
      </c>
      <c r="U163" s="228"/>
      <c r="V163" s="221">
        <f t="shared" si="34"/>
        <v>61443</v>
      </c>
      <c r="W163" s="388">
        <f t="shared" si="44"/>
        <v>46887</v>
      </c>
      <c r="X163" s="222">
        <f t="shared" si="35"/>
        <v>0.13436721129880919</v>
      </c>
      <c r="Y163" s="421">
        <f t="shared" si="43"/>
        <v>0.1296621266512859</v>
      </c>
      <c r="Z163" s="223">
        <f t="shared" si="36"/>
        <v>0.54732275678998055</v>
      </c>
      <c r="AA163" s="224" t="str">
        <f t="shared" si="37"/>
        <v>IN-No</v>
      </c>
      <c r="AB163" s="225" t="str">
        <f t="shared" si="38"/>
        <v>IN-Dem</v>
      </c>
      <c r="AC163" s="422" t="str">
        <f>C163&amp;"-"&amp;IF(Y163&gt;Instructions!$H$14,Instructions!$I$14,IF(Y163&gt;Instructions!$H$15,Instructions!$I$15,IF(Y163&gt;Instructions!$H$16,Instructions!$I$16,IF(Y163&gt;Instructions!$H$17,Instructions!$I$17,Instructions!$I$18))))</f>
        <v>IN-Opportunity</v>
      </c>
      <c r="AD163" s="226">
        <f t="shared" si="39"/>
        <v>0</v>
      </c>
      <c r="AE163" s="226">
        <f t="shared" si="40"/>
        <v>46887</v>
      </c>
      <c r="AF163" s="227">
        <f t="shared" si="41"/>
        <v>3931</v>
      </c>
      <c r="AG163" s="341">
        <f t="shared" si="42"/>
        <v>50818</v>
      </c>
      <c r="AH163" s="380"/>
    </row>
    <row r="164" spans="1:34">
      <c r="A164" s="352" t="s">
        <v>77</v>
      </c>
      <c r="B164" s="427">
        <v>8</v>
      </c>
      <c r="C164" s="220" t="s">
        <v>13</v>
      </c>
      <c r="D164" s="379" t="s">
        <v>517</v>
      </c>
      <c r="E164" s="379"/>
      <c r="F164"/>
      <c r="G164"/>
      <c r="H164"/>
      <c r="I164"/>
      <c r="J164" t="str">
        <f t="shared" si="31"/>
        <v>IN-Yes</v>
      </c>
      <c r="K164" t="str">
        <f t="shared" si="32"/>
        <v>IN-Yes</v>
      </c>
      <c r="L164" s="352"/>
      <c r="M164" s="352"/>
      <c r="N164" s="255">
        <v>2010</v>
      </c>
      <c r="O164" s="416">
        <v>61384</v>
      </c>
      <c r="P164" s="416"/>
      <c r="Q164" s="416">
        <v>103344</v>
      </c>
      <c r="R164" s="416"/>
      <c r="S164" s="416">
        <v>6587</v>
      </c>
      <c r="T164" s="353">
        <f t="shared" si="33"/>
        <v>171315</v>
      </c>
      <c r="U164" s="228"/>
      <c r="V164" s="221">
        <f t="shared" si="34"/>
        <v>103344</v>
      </c>
      <c r="W164" s="388">
        <f t="shared" si="44"/>
        <v>61384</v>
      </c>
      <c r="X164" s="222">
        <f t="shared" si="35"/>
        <v>0.25472293720557526</v>
      </c>
      <c r="Y164" s="421">
        <f t="shared" si="43"/>
        <v>0.24492893208417238</v>
      </c>
      <c r="Z164" s="223">
        <f t="shared" si="36"/>
        <v>0.60323964626565096</v>
      </c>
      <c r="AA164" s="224" t="str">
        <f t="shared" si="37"/>
        <v>IN-No</v>
      </c>
      <c r="AB164" s="225" t="str">
        <f t="shared" si="38"/>
        <v>IN-Rep</v>
      </c>
      <c r="AC164" s="422" t="str">
        <f>C164&amp;"-"&amp;IF(Y164&gt;Instructions!$H$14,Instructions!$I$14,IF(Y164&gt;Instructions!$H$15,Instructions!$I$15,IF(Y164&gt;Instructions!$H$16,Instructions!$I$16,IF(Y164&gt;Instructions!$H$17,Instructions!$I$17,Instructions!$I$18))))</f>
        <v>IN-Landslide</v>
      </c>
      <c r="AD164" s="226">
        <f t="shared" si="39"/>
        <v>61384</v>
      </c>
      <c r="AE164" s="226">
        <f t="shared" si="40"/>
        <v>0</v>
      </c>
      <c r="AF164" s="227">
        <f t="shared" si="41"/>
        <v>6587</v>
      </c>
      <c r="AG164" s="341">
        <f t="shared" si="42"/>
        <v>67971</v>
      </c>
    </row>
    <row r="165" spans="1:34">
      <c r="A165" s="352" t="s">
        <v>77</v>
      </c>
      <c r="B165" s="427">
        <v>9</v>
      </c>
      <c r="C165" s="220" t="s">
        <v>13</v>
      </c>
      <c r="D165" s="379" t="s">
        <v>518</v>
      </c>
      <c r="E165" s="379"/>
      <c r="F165"/>
      <c r="G165" s="379"/>
      <c r="H165"/>
      <c r="I165"/>
      <c r="J165" t="str">
        <f t="shared" si="31"/>
        <v>IN-Yes</v>
      </c>
      <c r="K165" t="str">
        <f t="shared" si="32"/>
        <v>IN-Yes</v>
      </c>
      <c r="L165" s="415"/>
      <c r="M165" s="415"/>
      <c r="N165" s="255">
        <v>2010</v>
      </c>
      <c r="O165" s="416">
        <v>55016</v>
      </c>
      <c r="P165" s="416"/>
      <c r="Q165" s="416">
        <v>101594</v>
      </c>
      <c r="R165" s="416"/>
      <c r="S165" s="416">
        <v>6777</v>
      </c>
      <c r="T165" s="353">
        <f t="shared" si="33"/>
        <v>163387</v>
      </c>
      <c r="U165" s="228"/>
      <c r="V165" s="221">
        <f t="shared" si="34"/>
        <v>101594</v>
      </c>
      <c r="W165" s="388">
        <f t="shared" si="44"/>
        <v>55016</v>
      </c>
      <c r="X165" s="222">
        <f t="shared" si="35"/>
        <v>0.29741395824021455</v>
      </c>
      <c r="Y165" s="421">
        <f t="shared" si="43"/>
        <v>0.28507776016451741</v>
      </c>
      <c r="Z165" s="223">
        <f t="shared" si="36"/>
        <v>0.62179977599197001</v>
      </c>
      <c r="AA165" s="224" t="str">
        <f t="shared" si="37"/>
        <v>IN-No</v>
      </c>
      <c r="AB165" s="225" t="str">
        <f t="shared" si="38"/>
        <v>IN-Rep</v>
      </c>
      <c r="AC165" s="422" t="str">
        <f>C165&amp;"-"&amp;IF(Y165&gt;Instructions!$H$14,Instructions!$I$14,IF(Y165&gt;Instructions!$H$15,Instructions!$I$15,IF(Y165&gt;Instructions!$H$16,Instructions!$I$16,IF(Y165&gt;Instructions!$H$17,Instructions!$I$17,Instructions!$I$18))))</f>
        <v>IN-Landslide</v>
      </c>
      <c r="AD165" s="226">
        <f t="shared" si="39"/>
        <v>55016</v>
      </c>
      <c r="AE165" s="226">
        <f t="shared" si="40"/>
        <v>0</v>
      </c>
      <c r="AF165" s="227">
        <f t="shared" si="41"/>
        <v>6777</v>
      </c>
      <c r="AG165" s="341">
        <f t="shared" si="42"/>
        <v>61793</v>
      </c>
      <c r="AH165" s="380"/>
    </row>
    <row r="166" spans="1:34">
      <c r="A166" s="352" t="s">
        <v>78</v>
      </c>
      <c r="B166" s="427">
        <v>1</v>
      </c>
      <c r="C166" s="220" t="s">
        <v>14</v>
      </c>
      <c r="D166" s="379" t="s">
        <v>785</v>
      </c>
      <c r="E166" s="379"/>
      <c r="F166" s="379"/>
      <c r="G166"/>
      <c r="H166"/>
      <c r="I166"/>
      <c r="J166" t="str">
        <f t="shared" si="31"/>
        <v>IA-No</v>
      </c>
      <c r="K166" t="str">
        <f t="shared" si="32"/>
        <v>IA-No</v>
      </c>
      <c r="L166" s="415">
        <v>0</v>
      </c>
      <c r="M166" s="417">
        <v>1</v>
      </c>
      <c r="N166" s="255">
        <v>2014</v>
      </c>
      <c r="O166" s="416">
        <v>141145</v>
      </c>
      <c r="P166" s="416"/>
      <c r="Q166" s="416">
        <v>147762</v>
      </c>
      <c r="R166" s="416"/>
      <c r="S166" s="416">
        <v>399</v>
      </c>
      <c r="T166" s="353">
        <f t="shared" si="33"/>
        <v>289306</v>
      </c>
      <c r="U166" s="228"/>
      <c r="V166" s="221">
        <f t="shared" si="34"/>
        <v>147762</v>
      </c>
      <c r="W166" s="388">
        <f t="shared" si="44"/>
        <v>141145</v>
      </c>
      <c r="X166" s="222">
        <f t="shared" si="35"/>
        <v>2.290356412271077E-2</v>
      </c>
      <c r="Y166" s="421">
        <f t="shared" si="43"/>
        <v>2.2871976384865822E-2</v>
      </c>
      <c r="Z166" s="223">
        <f t="shared" si="36"/>
        <v>0.51074640691862594</v>
      </c>
      <c r="AA166" s="224" t="str">
        <f t="shared" si="37"/>
        <v>IA-No</v>
      </c>
      <c r="AB166" s="225" t="str">
        <f t="shared" si="38"/>
        <v>IA-Rep</v>
      </c>
      <c r="AC166" s="422" t="str">
        <f>C166&amp;"-"&amp;IF(Y166&gt;Instructions!$H$14,Instructions!$I$14,IF(Y166&gt;Instructions!$H$15,Instructions!$I$15,IF(Y166&gt;Instructions!$H$16,Instructions!$I$16,IF(Y166&gt;Instructions!$H$17,Instructions!$I$17,Instructions!$I$18))))</f>
        <v>IA-Tight</v>
      </c>
      <c r="AD166" s="226">
        <f t="shared" si="39"/>
        <v>141145</v>
      </c>
      <c r="AE166" s="226">
        <f t="shared" si="40"/>
        <v>0</v>
      </c>
      <c r="AF166" s="227">
        <f t="shared" si="41"/>
        <v>399</v>
      </c>
      <c r="AG166" s="341">
        <f t="shared" si="42"/>
        <v>141544</v>
      </c>
      <c r="AH166" s="380"/>
    </row>
    <row r="167" spans="1:34">
      <c r="A167" s="352" t="s">
        <v>78</v>
      </c>
      <c r="B167" s="427">
        <v>2</v>
      </c>
      <c r="C167" s="220" t="s">
        <v>14</v>
      </c>
      <c r="D167" s="379" t="s">
        <v>519</v>
      </c>
      <c r="E167" s="379"/>
      <c r="F167" s="379"/>
      <c r="G167"/>
      <c r="H167"/>
      <c r="I167"/>
      <c r="J167" t="str">
        <f t="shared" si="31"/>
        <v>IA-Yes</v>
      </c>
      <c r="K167" t="str">
        <f t="shared" si="32"/>
        <v>IA-Yes</v>
      </c>
      <c r="L167" s="417"/>
      <c r="M167" s="417"/>
      <c r="N167" s="255">
        <v>2006</v>
      </c>
      <c r="O167" s="416">
        <v>143431</v>
      </c>
      <c r="P167" s="416"/>
      <c r="Q167" s="416">
        <v>129455</v>
      </c>
      <c r="R167" s="416"/>
      <c r="S167" s="416">
        <v>443</v>
      </c>
      <c r="T167" s="353">
        <f t="shared" si="33"/>
        <v>273329</v>
      </c>
      <c r="U167" s="396"/>
      <c r="V167" s="221">
        <f t="shared" si="34"/>
        <v>143431</v>
      </c>
      <c r="W167" s="388">
        <f t="shared" si="44"/>
        <v>129455</v>
      </c>
      <c r="X167" s="222">
        <f t="shared" si="35"/>
        <v>5.1215525897261124E-2</v>
      </c>
      <c r="Y167" s="421">
        <f t="shared" si="43"/>
        <v>5.1132517954552925E-2</v>
      </c>
      <c r="Z167" s="223">
        <f t="shared" si="36"/>
        <v>0.52475588027615072</v>
      </c>
      <c r="AA167" s="224" t="str">
        <f t="shared" ref="AA167:AA177" si="45">C167&amp;"-"&amp;IF(O167*Q167=0,"Yes","No")</f>
        <v>IA-No</v>
      </c>
      <c r="AB167" s="225" t="str">
        <f t="shared" si="38"/>
        <v>IA-Dem</v>
      </c>
      <c r="AC167" s="422" t="str">
        <f>C167&amp;"-"&amp;IF(Y167&gt;Instructions!$H$14,Instructions!$I$14,IF(Y167&gt;Instructions!$H$15,Instructions!$I$15,IF(Y167&gt;Instructions!$H$16,Instructions!$I$16,IF(Y167&gt;Instructions!$H$17,Instructions!$I$17,Instructions!$I$18))))</f>
        <v>IA-Competitive</v>
      </c>
      <c r="AD167" s="226">
        <f t="shared" si="39"/>
        <v>0</v>
      </c>
      <c r="AE167" s="226">
        <f t="shared" si="40"/>
        <v>129455</v>
      </c>
      <c r="AF167" s="227">
        <f t="shared" si="41"/>
        <v>443</v>
      </c>
      <c r="AG167" s="341">
        <f t="shared" si="42"/>
        <v>129898</v>
      </c>
      <c r="AH167" s="413">
        <f>SUM(AG163:AG167)</f>
        <v>452024</v>
      </c>
    </row>
    <row r="168" spans="1:34">
      <c r="A168" s="352" t="s">
        <v>78</v>
      </c>
      <c r="B168" s="427">
        <v>3</v>
      </c>
      <c r="C168" s="220" t="s">
        <v>14</v>
      </c>
      <c r="D168" s="379" t="s">
        <v>786</v>
      </c>
      <c r="E168" s="379"/>
      <c r="F168"/>
      <c r="G168"/>
      <c r="H168"/>
      <c r="I168"/>
      <c r="J168" t="str">
        <f t="shared" si="31"/>
        <v>IA-No</v>
      </c>
      <c r="K168" t="str">
        <f t="shared" si="32"/>
        <v>IA-No</v>
      </c>
      <c r="L168" s="415">
        <v>0</v>
      </c>
      <c r="M168" s="415"/>
      <c r="N168" s="255">
        <v>2014</v>
      </c>
      <c r="O168" s="416">
        <v>119109</v>
      </c>
      <c r="P168" s="416"/>
      <c r="Q168" s="416">
        <v>148814</v>
      </c>
      <c r="R168" s="416"/>
      <c r="S168" s="416">
        <v>14143</v>
      </c>
      <c r="T168" s="353">
        <f t="shared" si="33"/>
        <v>282066</v>
      </c>
      <c r="U168" s="228"/>
      <c r="V168" s="221">
        <f t="shared" si="34"/>
        <v>148814</v>
      </c>
      <c r="W168" s="388">
        <f t="shared" si="44"/>
        <v>119109</v>
      </c>
      <c r="X168" s="222">
        <f t="shared" si="35"/>
        <v>0.11087140708337843</v>
      </c>
      <c r="Y168" s="421">
        <f t="shared" si="43"/>
        <v>0.10531223188899047</v>
      </c>
      <c r="Z168" s="223">
        <f t="shared" si="36"/>
        <v>0.52758574234399036</v>
      </c>
      <c r="AA168" s="224" t="str">
        <f t="shared" si="45"/>
        <v>IA-No</v>
      </c>
      <c r="AB168" s="225" t="str">
        <f t="shared" si="38"/>
        <v>IA-Rep</v>
      </c>
      <c r="AC168" s="422" t="str">
        <f>C168&amp;"-"&amp;IF(Y168&gt;Instructions!$H$14,Instructions!$I$14,IF(Y168&gt;Instructions!$H$15,Instructions!$I$15,IF(Y168&gt;Instructions!$H$16,Instructions!$I$16,IF(Y168&gt;Instructions!$H$17,Instructions!$I$17,Instructions!$I$18))))</f>
        <v>IA-Opportunity</v>
      </c>
      <c r="AD168" s="226">
        <f t="shared" si="39"/>
        <v>119109</v>
      </c>
      <c r="AE168" s="226">
        <f t="shared" si="40"/>
        <v>0</v>
      </c>
      <c r="AF168" s="227">
        <f t="shared" si="41"/>
        <v>14143</v>
      </c>
      <c r="AG168" s="341">
        <f t="shared" si="42"/>
        <v>133252</v>
      </c>
    </row>
    <row r="169" spans="1:34">
      <c r="A169" s="352" t="s">
        <v>78</v>
      </c>
      <c r="B169" s="427">
        <v>4</v>
      </c>
      <c r="C169" s="220" t="s">
        <v>14</v>
      </c>
      <c r="D169" s="379" t="s">
        <v>520</v>
      </c>
      <c r="E169" s="381"/>
      <c r="F169"/>
      <c r="G169"/>
      <c r="H169"/>
      <c r="I169"/>
      <c r="J169" t="str">
        <f t="shared" si="31"/>
        <v>IA-Yes</v>
      </c>
      <c r="K169" t="str">
        <f t="shared" si="32"/>
        <v>IA-Yes</v>
      </c>
      <c r="L169" s="415"/>
      <c r="M169" s="415"/>
      <c r="N169" s="255">
        <v>2002</v>
      </c>
      <c r="O169" s="416">
        <v>105504</v>
      </c>
      <c r="P169" s="416"/>
      <c r="Q169" s="416">
        <v>169834</v>
      </c>
      <c r="R169" s="416"/>
      <c r="S169" s="416">
        <v>295</v>
      </c>
      <c r="T169" s="353">
        <f t="shared" si="33"/>
        <v>275633</v>
      </c>
      <c r="U169" s="228"/>
      <c r="V169" s="221">
        <f t="shared" si="34"/>
        <v>169834</v>
      </c>
      <c r="W169" s="388">
        <f t="shared" si="44"/>
        <v>105504</v>
      </c>
      <c r="X169" s="222">
        <f t="shared" si="35"/>
        <v>0.23364010779478314</v>
      </c>
      <c r="Y169" s="421">
        <f t="shared" si="43"/>
        <v>0.23339005126381812</v>
      </c>
      <c r="Z169" s="223">
        <f t="shared" si="36"/>
        <v>0.6161598937717907</v>
      </c>
      <c r="AA169" s="224" t="str">
        <f t="shared" si="45"/>
        <v>IA-No</v>
      </c>
      <c r="AB169" s="225" t="str">
        <f t="shared" si="38"/>
        <v>IA-Rep</v>
      </c>
      <c r="AC169" s="422" t="str">
        <f>C169&amp;"-"&amp;IF(Y169&gt;Instructions!$H$14,Instructions!$I$14,IF(Y169&gt;Instructions!$H$15,Instructions!$I$15,IF(Y169&gt;Instructions!$H$16,Instructions!$I$16,IF(Y169&gt;Instructions!$H$17,Instructions!$I$17,Instructions!$I$18))))</f>
        <v>IA-Landslide</v>
      </c>
      <c r="AD169" s="226">
        <f t="shared" si="39"/>
        <v>105504</v>
      </c>
      <c r="AE169" s="226">
        <f t="shared" si="40"/>
        <v>0</v>
      </c>
      <c r="AF169" s="227">
        <f t="shared" si="41"/>
        <v>295</v>
      </c>
      <c r="AG169" s="341">
        <f t="shared" si="42"/>
        <v>105799</v>
      </c>
      <c r="AH169" s="380"/>
    </row>
    <row r="170" spans="1:34">
      <c r="A170" s="352" t="s">
        <v>79</v>
      </c>
      <c r="B170" s="427">
        <v>1</v>
      </c>
      <c r="C170" s="220" t="s">
        <v>15</v>
      </c>
      <c r="D170" s="379" t="s">
        <v>521</v>
      </c>
      <c r="E170"/>
      <c r="F170"/>
      <c r="G170"/>
      <c r="H170"/>
      <c r="I170"/>
      <c r="J170" t="str">
        <f t="shared" si="31"/>
        <v>KS-Yes</v>
      </c>
      <c r="K170" t="str">
        <f t="shared" si="32"/>
        <v>KS-Yes</v>
      </c>
      <c r="L170" s="415"/>
      <c r="M170" s="415"/>
      <c r="N170" s="255">
        <v>2010</v>
      </c>
      <c r="O170" s="416">
        <v>65397</v>
      </c>
      <c r="P170" s="416"/>
      <c r="Q170" s="416">
        <v>138764</v>
      </c>
      <c r="R170" s="416"/>
      <c r="S170" s="416">
        <v>0</v>
      </c>
      <c r="T170" s="353">
        <f t="shared" si="33"/>
        <v>204161</v>
      </c>
      <c r="U170" s="396"/>
      <c r="V170" s="221">
        <f t="shared" si="34"/>
        <v>138764</v>
      </c>
      <c r="W170" s="388">
        <f t="shared" si="44"/>
        <v>65397</v>
      </c>
      <c r="X170" s="222">
        <f t="shared" si="35"/>
        <v>0.35935854546166995</v>
      </c>
      <c r="Y170" s="421">
        <f t="shared" si="43"/>
        <v>0.35935854546166995</v>
      </c>
      <c r="Z170" s="223">
        <f t="shared" si="36"/>
        <v>0.67967927273083495</v>
      </c>
      <c r="AA170" s="391" t="str">
        <f t="shared" si="45"/>
        <v>KS-No</v>
      </c>
      <c r="AB170" s="225" t="str">
        <f t="shared" si="38"/>
        <v>KS-Rep</v>
      </c>
      <c r="AC170" s="422" t="str">
        <f>C170&amp;"-"&amp;IF(Y170&gt;Instructions!$H$14,Instructions!$I$14,IF(Y170&gt;Instructions!$H$15,Instructions!$I$15,IF(Y170&gt;Instructions!$H$16,Instructions!$I$16,IF(Y170&gt;Instructions!$H$17,Instructions!$I$17,Instructions!$I$18))))</f>
        <v>KS-Landslide</v>
      </c>
      <c r="AD170" s="226">
        <f t="shared" si="39"/>
        <v>65397</v>
      </c>
      <c r="AE170" s="226">
        <f t="shared" si="40"/>
        <v>0</v>
      </c>
      <c r="AF170" s="227">
        <f t="shared" si="41"/>
        <v>0</v>
      </c>
      <c r="AG170" s="341">
        <f t="shared" si="42"/>
        <v>65397</v>
      </c>
      <c r="AH170" s="380"/>
    </row>
    <row r="171" spans="1:34">
      <c r="A171" s="352" t="s">
        <v>79</v>
      </c>
      <c r="B171" s="427">
        <v>2</v>
      </c>
      <c r="C171" s="220" t="s">
        <v>15</v>
      </c>
      <c r="D171" s="379" t="s">
        <v>522</v>
      </c>
      <c r="E171" t="s">
        <v>353</v>
      </c>
      <c r="F171"/>
      <c r="G171"/>
      <c r="H171"/>
      <c r="I171"/>
      <c r="J171" t="str">
        <f t="shared" si="31"/>
        <v>KS-Yes</v>
      </c>
      <c r="K171" t="str">
        <f t="shared" si="32"/>
        <v>KS-Yes</v>
      </c>
      <c r="L171" s="415"/>
      <c r="M171" s="415"/>
      <c r="N171" s="255">
        <v>2009</v>
      </c>
      <c r="O171" s="416">
        <v>87153</v>
      </c>
      <c r="P171" s="416"/>
      <c r="Q171" s="416">
        <v>128742</v>
      </c>
      <c r="R171" s="416"/>
      <c r="S171" s="416">
        <v>9791</v>
      </c>
      <c r="T171" s="353">
        <f t="shared" si="33"/>
        <v>225686</v>
      </c>
      <c r="U171" s="396"/>
      <c r="V171" s="221">
        <f t="shared" si="34"/>
        <v>128742</v>
      </c>
      <c r="W171" s="388">
        <f t="shared" si="44"/>
        <v>87153</v>
      </c>
      <c r="X171" s="222">
        <f t="shared" si="35"/>
        <v>0.19263530883068158</v>
      </c>
      <c r="Y171" s="421">
        <f t="shared" si="43"/>
        <v>0.18427815637655853</v>
      </c>
      <c r="Z171" s="223">
        <f t="shared" si="36"/>
        <v>0.57044743581790625</v>
      </c>
      <c r="AA171" s="391" t="str">
        <f t="shared" si="45"/>
        <v>KS-No</v>
      </c>
      <c r="AB171" s="225" t="str">
        <f t="shared" si="38"/>
        <v>KS-Rep</v>
      </c>
      <c r="AC171" s="422" t="str">
        <f>C171&amp;"-"&amp;IF(Y171&gt;Instructions!$H$14,Instructions!$I$14,IF(Y171&gt;Instructions!$H$15,Instructions!$I$15,IF(Y171&gt;Instructions!$H$16,Instructions!$I$16,IF(Y171&gt;Instructions!$H$17,Instructions!$I$17,Instructions!$I$18))))</f>
        <v>KS-Opportunity</v>
      </c>
      <c r="AD171" s="226">
        <f t="shared" si="39"/>
        <v>87153</v>
      </c>
      <c r="AE171" s="226">
        <f t="shared" si="40"/>
        <v>0</v>
      </c>
      <c r="AF171" s="227">
        <f t="shared" si="41"/>
        <v>9791</v>
      </c>
      <c r="AG171" s="341">
        <f t="shared" si="42"/>
        <v>96944</v>
      </c>
      <c r="AH171" s="413">
        <f>SUM(AG168:AG171)</f>
        <v>401392</v>
      </c>
    </row>
    <row r="172" spans="1:34">
      <c r="A172" s="352" t="s">
        <v>79</v>
      </c>
      <c r="B172" s="427">
        <v>3</v>
      </c>
      <c r="C172" s="220" t="s">
        <v>15</v>
      </c>
      <c r="D172" s="379" t="s">
        <v>523</v>
      </c>
      <c r="E172"/>
      <c r="F172"/>
      <c r="G172"/>
      <c r="H172"/>
      <c r="I172" s="379"/>
      <c r="J172" t="str">
        <f t="shared" si="31"/>
        <v>KS-Yes</v>
      </c>
      <c r="K172" t="str">
        <f t="shared" si="32"/>
        <v>KS-Yes</v>
      </c>
      <c r="L172" s="415"/>
      <c r="M172" s="415"/>
      <c r="N172" s="255">
        <v>2010</v>
      </c>
      <c r="O172" s="416">
        <v>89584</v>
      </c>
      <c r="P172" s="416"/>
      <c r="Q172" s="416">
        <v>134493</v>
      </c>
      <c r="R172" s="416"/>
      <c r="S172" s="416">
        <v>203</v>
      </c>
      <c r="T172" s="353">
        <f t="shared" si="33"/>
        <v>224280</v>
      </c>
      <c r="U172" s="228"/>
      <c r="V172" s="221">
        <f t="shared" si="34"/>
        <v>134493</v>
      </c>
      <c r="W172" s="388">
        <f t="shared" si="44"/>
        <v>89584</v>
      </c>
      <c r="X172" s="222">
        <f t="shared" si="35"/>
        <v>0.20041771355382301</v>
      </c>
      <c r="Y172" s="421">
        <f t="shared" si="43"/>
        <v>0.2002363117531657</v>
      </c>
      <c r="Z172" s="223">
        <f t="shared" si="36"/>
        <v>0.59966559657570895</v>
      </c>
      <c r="AA172" s="224" t="str">
        <f t="shared" si="45"/>
        <v>KS-No</v>
      </c>
      <c r="AB172" s="225" t="str">
        <f t="shared" si="38"/>
        <v>KS-Rep</v>
      </c>
      <c r="AC172" s="422" t="str">
        <f>C172&amp;"-"&amp;IF(Y172&gt;Instructions!$H$14,Instructions!$I$14,IF(Y172&gt;Instructions!$H$15,Instructions!$I$15,IF(Y172&gt;Instructions!$H$16,Instructions!$I$16,IF(Y172&gt;Instructions!$H$17,Instructions!$I$17,Instructions!$I$18))))</f>
        <v>KS-Landslide</v>
      </c>
      <c r="AD172" s="226">
        <f t="shared" si="39"/>
        <v>89584</v>
      </c>
      <c r="AE172" s="226">
        <f t="shared" si="40"/>
        <v>0</v>
      </c>
      <c r="AF172" s="227">
        <f t="shared" si="41"/>
        <v>203</v>
      </c>
      <c r="AG172" s="341">
        <f t="shared" si="42"/>
        <v>89787</v>
      </c>
    </row>
    <row r="173" spans="1:34">
      <c r="A173" s="352" t="s">
        <v>79</v>
      </c>
      <c r="B173" s="427">
        <v>4</v>
      </c>
      <c r="C173" s="220" t="s">
        <v>15</v>
      </c>
      <c r="D173" s="379" t="s">
        <v>524</v>
      </c>
      <c r="E173"/>
      <c r="F173"/>
      <c r="G173"/>
      <c r="H173"/>
      <c r="I173"/>
      <c r="J173" t="str">
        <f t="shared" si="31"/>
        <v>KS-Yes</v>
      </c>
      <c r="K173" t="str">
        <f t="shared" si="32"/>
        <v>KS-Yes</v>
      </c>
      <c r="L173" s="415"/>
      <c r="M173" s="415"/>
      <c r="N173" s="255">
        <v>2010</v>
      </c>
      <c r="O173" s="416">
        <v>69396</v>
      </c>
      <c r="P173" s="416"/>
      <c r="Q173" s="416">
        <v>138757</v>
      </c>
      <c r="R173" s="416"/>
      <c r="S173" s="416">
        <v>0</v>
      </c>
      <c r="T173" s="353">
        <f t="shared" si="33"/>
        <v>208153</v>
      </c>
      <c r="U173" s="228"/>
      <c r="V173" s="221">
        <f t="shared" si="34"/>
        <v>138757</v>
      </c>
      <c r="W173" s="388">
        <f t="shared" si="44"/>
        <v>69396</v>
      </c>
      <c r="X173" s="222">
        <f t="shared" si="35"/>
        <v>0.33322123630214312</v>
      </c>
      <c r="Y173" s="421">
        <f t="shared" si="43"/>
        <v>0.33322123630214318</v>
      </c>
      <c r="Z173" s="223">
        <f t="shared" si="36"/>
        <v>0.66661061815107159</v>
      </c>
      <c r="AA173" s="224" t="str">
        <f t="shared" si="45"/>
        <v>KS-No</v>
      </c>
      <c r="AB173" s="225" t="str">
        <f t="shared" si="38"/>
        <v>KS-Rep</v>
      </c>
      <c r="AC173" s="422" t="str">
        <f>C173&amp;"-"&amp;IF(Y173&gt;Instructions!$H$14,Instructions!$I$14,IF(Y173&gt;Instructions!$H$15,Instructions!$I$15,IF(Y173&gt;Instructions!$H$16,Instructions!$I$16,IF(Y173&gt;Instructions!$H$17,Instructions!$I$17,Instructions!$I$18))))</f>
        <v>KS-Landslide</v>
      </c>
      <c r="AD173" s="226">
        <f t="shared" si="39"/>
        <v>69396</v>
      </c>
      <c r="AE173" s="226">
        <f t="shared" si="40"/>
        <v>0</v>
      </c>
      <c r="AF173" s="227">
        <f t="shared" si="41"/>
        <v>0</v>
      </c>
      <c r="AG173" s="341">
        <f t="shared" si="42"/>
        <v>69396</v>
      </c>
    </row>
    <row r="174" spans="1:34">
      <c r="A174" s="352" t="s">
        <v>80</v>
      </c>
      <c r="B174" s="427">
        <v>1</v>
      </c>
      <c r="C174" s="220" t="s">
        <v>16</v>
      </c>
      <c r="D174" s="379" t="s">
        <v>525</v>
      </c>
      <c r="E174"/>
      <c r="F174"/>
      <c r="G174"/>
      <c r="H174"/>
      <c r="I174"/>
      <c r="J174" t="str">
        <f t="shared" si="31"/>
        <v>KY-Yes</v>
      </c>
      <c r="K174" t="str">
        <f t="shared" si="32"/>
        <v>KY-Yes</v>
      </c>
      <c r="L174" s="415"/>
      <c r="M174" s="415"/>
      <c r="N174" s="255">
        <v>1994</v>
      </c>
      <c r="O174" s="416">
        <v>63596</v>
      </c>
      <c r="P174" s="416"/>
      <c r="Q174" s="416">
        <v>173022</v>
      </c>
      <c r="R174" s="416"/>
      <c r="S174" s="416">
        <v>0</v>
      </c>
      <c r="T174" s="353">
        <f t="shared" si="33"/>
        <v>236618</v>
      </c>
      <c r="U174" s="228"/>
      <c r="V174" s="221">
        <f t="shared" si="34"/>
        <v>173022</v>
      </c>
      <c r="W174" s="388">
        <f t="shared" si="44"/>
        <v>63596</v>
      </c>
      <c r="X174" s="222">
        <f t="shared" si="35"/>
        <v>0.4624584773770381</v>
      </c>
      <c r="Y174" s="421">
        <f t="shared" si="43"/>
        <v>0.4624584773770381</v>
      </c>
      <c r="Z174" s="223">
        <f t="shared" si="36"/>
        <v>0.73122923868851908</v>
      </c>
      <c r="AA174" s="224" t="str">
        <f t="shared" si="45"/>
        <v>KY-No</v>
      </c>
      <c r="AB174" s="225" t="str">
        <f t="shared" si="38"/>
        <v>KY-Rep</v>
      </c>
      <c r="AC174" s="422" t="str">
        <f>C174&amp;"-"&amp;IF(Y174&gt;Instructions!$H$14,Instructions!$I$14,IF(Y174&gt;Instructions!$H$15,Instructions!$I$15,IF(Y174&gt;Instructions!$H$16,Instructions!$I$16,IF(Y174&gt;Instructions!$H$17,Instructions!$I$17,Instructions!$I$18))))</f>
        <v>KY-No contest</v>
      </c>
      <c r="AD174" s="226">
        <f t="shared" si="39"/>
        <v>63596</v>
      </c>
      <c r="AE174" s="226">
        <f t="shared" si="40"/>
        <v>0</v>
      </c>
      <c r="AF174" s="227">
        <f t="shared" si="41"/>
        <v>0</v>
      </c>
      <c r="AG174" s="341">
        <f t="shared" si="42"/>
        <v>63596</v>
      </c>
    </row>
    <row r="175" spans="1:34">
      <c r="A175" s="352" t="s">
        <v>80</v>
      </c>
      <c r="B175" s="427">
        <v>2</v>
      </c>
      <c r="C175" s="220" t="s">
        <v>16</v>
      </c>
      <c r="D175" s="379" t="s">
        <v>526</v>
      </c>
      <c r="E175" s="379"/>
      <c r="F175" s="379"/>
      <c r="G175"/>
      <c r="H175"/>
      <c r="I175"/>
      <c r="J175" t="str">
        <f t="shared" si="31"/>
        <v>KY-Yes</v>
      </c>
      <c r="K175" t="str">
        <f t="shared" si="32"/>
        <v>KY-Yes</v>
      </c>
      <c r="L175" s="415"/>
      <c r="M175" s="415"/>
      <c r="N175" s="255">
        <v>2008</v>
      </c>
      <c r="O175" s="416">
        <v>69898</v>
      </c>
      <c r="P175" s="416"/>
      <c r="Q175" s="416">
        <v>156936</v>
      </c>
      <c r="R175" s="416"/>
      <c r="S175" s="416">
        <v>0</v>
      </c>
      <c r="T175" s="353">
        <f t="shared" si="33"/>
        <v>226834</v>
      </c>
      <c r="U175" s="228"/>
      <c r="V175" s="221">
        <f t="shared" si="34"/>
        <v>156936</v>
      </c>
      <c r="W175" s="388">
        <f t="shared" si="44"/>
        <v>69898</v>
      </c>
      <c r="X175" s="222">
        <f t="shared" si="35"/>
        <v>0.38370790974897945</v>
      </c>
      <c r="Y175" s="421">
        <f t="shared" si="43"/>
        <v>0.38370790974897945</v>
      </c>
      <c r="Z175" s="223">
        <f t="shared" si="36"/>
        <v>0.69185395487448975</v>
      </c>
      <c r="AA175" s="224" t="str">
        <f t="shared" si="45"/>
        <v>KY-No</v>
      </c>
      <c r="AB175" s="225" t="str">
        <f t="shared" si="38"/>
        <v>KY-Rep</v>
      </c>
      <c r="AC175" s="422" t="str">
        <f>C175&amp;"-"&amp;IF(Y175&gt;Instructions!$H$14,Instructions!$I$14,IF(Y175&gt;Instructions!$H$15,Instructions!$I$15,IF(Y175&gt;Instructions!$H$16,Instructions!$I$16,IF(Y175&gt;Instructions!$H$17,Instructions!$I$17,Instructions!$I$18))))</f>
        <v>KY-Landslide</v>
      </c>
      <c r="AD175" s="226">
        <f t="shared" si="39"/>
        <v>69898</v>
      </c>
      <c r="AE175" s="226">
        <f t="shared" si="40"/>
        <v>0</v>
      </c>
      <c r="AF175" s="227">
        <f t="shared" si="41"/>
        <v>0</v>
      </c>
      <c r="AG175" s="341">
        <f t="shared" si="42"/>
        <v>69898</v>
      </c>
    </row>
    <row r="176" spans="1:34">
      <c r="A176" s="352" t="s">
        <v>80</v>
      </c>
      <c r="B176" s="427">
        <v>3</v>
      </c>
      <c r="C176" s="220" t="s">
        <v>16</v>
      </c>
      <c r="D176" s="379" t="s">
        <v>527</v>
      </c>
      <c r="E176"/>
      <c r="F176"/>
      <c r="G176"/>
      <c r="H176"/>
      <c r="I176"/>
      <c r="J176" t="str">
        <f t="shared" si="31"/>
        <v>KY-Yes</v>
      </c>
      <c r="K176" t="str">
        <f t="shared" si="32"/>
        <v>KY-Yes</v>
      </c>
      <c r="L176" s="417"/>
      <c r="M176" s="417"/>
      <c r="N176" s="255">
        <v>2006</v>
      </c>
      <c r="O176" s="416">
        <v>157056</v>
      </c>
      <c r="P176" s="416"/>
      <c r="Q176" s="416">
        <v>87981</v>
      </c>
      <c r="R176" s="416"/>
      <c r="S176" s="416">
        <v>2318</v>
      </c>
      <c r="T176" s="353">
        <f t="shared" si="33"/>
        <v>247355</v>
      </c>
      <c r="U176" s="228"/>
      <c r="V176" s="221">
        <f t="shared" si="34"/>
        <v>157056</v>
      </c>
      <c r="W176" s="388">
        <f t="shared" si="44"/>
        <v>87981</v>
      </c>
      <c r="X176" s="222">
        <f t="shared" si="35"/>
        <v>0.28189620343050231</v>
      </c>
      <c r="Y176" s="421">
        <f t="shared" si="43"/>
        <v>0.27925451274484042</v>
      </c>
      <c r="Z176" s="223">
        <f t="shared" si="36"/>
        <v>0.63494168300620568</v>
      </c>
      <c r="AA176" s="224" t="str">
        <f t="shared" si="45"/>
        <v>KY-No</v>
      </c>
      <c r="AB176" s="225" t="str">
        <f t="shared" si="38"/>
        <v>KY-Dem</v>
      </c>
      <c r="AC176" s="422" t="str">
        <f>C176&amp;"-"&amp;IF(Y176&gt;Instructions!$H$14,Instructions!$I$14,IF(Y176&gt;Instructions!$H$15,Instructions!$I$15,IF(Y176&gt;Instructions!$H$16,Instructions!$I$16,IF(Y176&gt;Instructions!$H$17,Instructions!$I$17,Instructions!$I$18))))</f>
        <v>KY-Landslide</v>
      </c>
      <c r="AD176" s="226">
        <f t="shared" si="39"/>
        <v>0</v>
      </c>
      <c r="AE176" s="226">
        <f t="shared" si="40"/>
        <v>87981</v>
      </c>
      <c r="AF176" s="227">
        <f t="shared" si="41"/>
        <v>2318</v>
      </c>
      <c r="AG176" s="341">
        <f t="shared" si="42"/>
        <v>90299</v>
      </c>
    </row>
    <row r="177" spans="1:35">
      <c r="A177" s="352" t="s">
        <v>80</v>
      </c>
      <c r="B177" s="427">
        <v>4</v>
      </c>
      <c r="C177" s="220" t="s">
        <v>16</v>
      </c>
      <c r="D177" s="379" t="s">
        <v>528</v>
      </c>
      <c r="E177"/>
      <c r="F177"/>
      <c r="G177"/>
      <c r="H177"/>
      <c r="I177"/>
      <c r="J177" t="str">
        <f t="shared" si="31"/>
        <v>KY-Yes</v>
      </c>
      <c r="K177" t="str">
        <f t="shared" si="32"/>
        <v>KY-Yes</v>
      </c>
      <c r="L177" s="415"/>
      <c r="M177" s="415"/>
      <c r="N177" s="255">
        <v>2012</v>
      </c>
      <c r="O177" s="416">
        <v>71694</v>
      </c>
      <c r="P177" s="416"/>
      <c r="Q177" s="416">
        <v>150464</v>
      </c>
      <c r="R177" s="416"/>
      <c r="S177" s="416">
        <v>0</v>
      </c>
      <c r="T177" s="353">
        <f t="shared" si="33"/>
        <v>222158</v>
      </c>
      <c r="U177" s="228"/>
      <c r="V177" s="221">
        <f t="shared" si="34"/>
        <v>150464</v>
      </c>
      <c r="W177" s="388">
        <f t="shared" si="44"/>
        <v>71694</v>
      </c>
      <c r="X177" s="222">
        <f t="shared" si="35"/>
        <v>0.35456746999882965</v>
      </c>
      <c r="Y177" s="421">
        <f t="shared" si="43"/>
        <v>0.35456746999882971</v>
      </c>
      <c r="Z177" s="223">
        <f t="shared" si="36"/>
        <v>0.67728373499941485</v>
      </c>
      <c r="AA177" s="224" t="str">
        <f t="shared" si="45"/>
        <v>KY-No</v>
      </c>
      <c r="AB177" s="225" t="str">
        <f t="shared" si="38"/>
        <v>KY-Rep</v>
      </c>
      <c r="AC177" s="422" t="str">
        <f>C177&amp;"-"&amp;IF(Y177&gt;Instructions!$H$14,Instructions!$I$14,IF(Y177&gt;Instructions!$H$15,Instructions!$I$15,IF(Y177&gt;Instructions!$H$16,Instructions!$I$16,IF(Y177&gt;Instructions!$H$17,Instructions!$I$17,Instructions!$I$18))))</f>
        <v>KY-Landslide</v>
      </c>
      <c r="AD177" s="226">
        <f t="shared" si="39"/>
        <v>71694</v>
      </c>
      <c r="AE177" s="226">
        <f t="shared" si="40"/>
        <v>0</v>
      </c>
      <c r="AF177" s="227">
        <f t="shared" si="41"/>
        <v>0</v>
      </c>
      <c r="AG177" s="341">
        <f t="shared" si="42"/>
        <v>71694</v>
      </c>
      <c r="AH177" s="383">
        <f>SUM(AG172:AG177)</f>
        <v>454670</v>
      </c>
    </row>
    <row r="178" spans="1:35">
      <c r="A178" s="352" t="s">
        <v>80</v>
      </c>
      <c r="B178" s="427">
        <v>5</v>
      </c>
      <c r="C178" s="220" t="s">
        <v>16</v>
      </c>
      <c r="D178" s="379" t="s">
        <v>529</v>
      </c>
      <c r="E178"/>
      <c r="F178"/>
      <c r="G178"/>
      <c r="H178"/>
      <c r="I178"/>
      <c r="J178" t="str">
        <f t="shared" si="31"/>
        <v>KY-Yes</v>
      </c>
      <c r="K178" t="str">
        <f t="shared" si="32"/>
        <v>KY-Yes</v>
      </c>
      <c r="L178" s="352"/>
      <c r="M178" s="352"/>
      <c r="N178" s="255">
        <v>1980</v>
      </c>
      <c r="O178" s="416">
        <v>47617</v>
      </c>
      <c r="P178" s="416"/>
      <c r="Q178" s="416">
        <v>171350</v>
      </c>
      <c r="R178" s="416"/>
      <c r="S178" s="416">
        <v>0</v>
      </c>
      <c r="T178" s="353">
        <f t="shared" si="33"/>
        <v>218967</v>
      </c>
      <c r="U178" s="386">
        <v>288007</v>
      </c>
      <c r="V178" s="221">
        <f t="shared" si="34"/>
        <v>171350</v>
      </c>
      <c r="W178" s="388">
        <f t="shared" si="44"/>
        <v>47617</v>
      </c>
      <c r="X178" s="222">
        <f t="shared" si="35"/>
        <v>0.56507601602067892</v>
      </c>
      <c r="Y178" s="421">
        <f t="shared" si="43"/>
        <v>0.56507601602067892</v>
      </c>
      <c r="Z178" s="223">
        <f t="shared" si="36"/>
        <v>0.78253800801033946</v>
      </c>
      <c r="AA178" s="224" t="s">
        <v>267</v>
      </c>
      <c r="AB178" s="225" t="str">
        <f t="shared" si="38"/>
        <v>KY-Rep</v>
      </c>
      <c r="AC178" s="422" t="str">
        <f>C178&amp;"-"&amp;IF(Y178&gt;Instructions!$H$14,Instructions!$I$14,IF(Y178&gt;Instructions!$H$15,Instructions!$I$15,IF(Y178&gt;Instructions!$H$16,Instructions!$I$16,IF(Y178&gt;Instructions!$H$17,Instructions!$I$17,Instructions!$I$18))))</f>
        <v>KY-No contest</v>
      </c>
      <c r="AD178" s="226">
        <f t="shared" si="39"/>
        <v>47617</v>
      </c>
      <c r="AE178" s="226">
        <f t="shared" si="40"/>
        <v>0</v>
      </c>
      <c r="AF178" s="227">
        <f t="shared" si="41"/>
        <v>0</v>
      </c>
      <c r="AG178" s="341">
        <f t="shared" si="42"/>
        <v>47617</v>
      </c>
      <c r="AI178" s="6"/>
    </row>
    <row r="179" spans="1:35">
      <c r="A179" s="352" t="s">
        <v>80</v>
      </c>
      <c r="B179" s="427">
        <v>6</v>
      </c>
      <c r="C179" s="220" t="s">
        <v>16</v>
      </c>
      <c r="D179" s="379" t="s">
        <v>530</v>
      </c>
      <c r="E179"/>
      <c r="F179" s="379"/>
      <c r="G179"/>
      <c r="H179"/>
      <c r="I179"/>
      <c r="J179" t="str">
        <f t="shared" si="31"/>
        <v>KY-Yes</v>
      </c>
      <c r="K179" t="str">
        <f t="shared" si="32"/>
        <v>KY-Yes</v>
      </c>
      <c r="L179" s="415"/>
      <c r="M179" s="415"/>
      <c r="N179" s="255">
        <v>2012</v>
      </c>
      <c r="O179" s="416">
        <v>98290</v>
      </c>
      <c r="P179" s="416"/>
      <c r="Q179" s="416">
        <v>147404</v>
      </c>
      <c r="R179" s="416"/>
      <c r="S179" s="416">
        <v>0</v>
      </c>
      <c r="T179" s="353">
        <f t="shared" si="33"/>
        <v>245694</v>
      </c>
      <c r="U179" s="385">
        <f>92921+70705</f>
        <v>163626</v>
      </c>
      <c r="V179" s="221">
        <f t="shared" si="34"/>
        <v>147404</v>
      </c>
      <c r="W179" s="388">
        <f t="shared" si="44"/>
        <v>98290</v>
      </c>
      <c r="X179" s="222">
        <f t="shared" si="35"/>
        <v>0.19989906143414166</v>
      </c>
      <c r="Y179" s="421">
        <f t="shared" si="43"/>
        <v>0.1998990614341416</v>
      </c>
      <c r="Z179" s="223">
        <f t="shared" si="36"/>
        <v>0.5999495307170708</v>
      </c>
      <c r="AA179" s="224" t="s">
        <v>267</v>
      </c>
      <c r="AB179" s="225" t="str">
        <f t="shared" si="38"/>
        <v>KY-Rep</v>
      </c>
      <c r="AC179" s="422" t="str">
        <f>C179&amp;"-"&amp;IF(Y179&gt;Instructions!$H$14,Instructions!$I$14,IF(Y179&gt;Instructions!$H$15,Instructions!$I$15,IF(Y179&gt;Instructions!$H$16,Instructions!$I$16,IF(Y179&gt;Instructions!$H$17,Instructions!$I$17,Instructions!$I$18))))</f>
        <v>KY-Opportunity</v>
      </c>
      <c r="AD179" s="226">
        <f t="shared" si="39"/>
        <v>98290</v>
      </c>
      <c r="AE179" s="226">
        <f t="shared" si="40"/>
        <v>0</v>
      </c>
      <c r="AF179" s="227">
        <f t="shared" si="41"/>
        <v>0</v>
      </c>
      <c r="AG179" s="341">
        <f t="shared" si="42"/>
        <v>98290</v>
      </c>
      <c r="AH179" s="380"/>
    </row>
    <row r="180" spans="1:35">
      <c r="A180" s="352" t="s">
        <v>81</v>
      </c>
      <c r="B180" s="427">
        <v>1</v>
      </c>
      <c r="C180" s="220" t="s">
        <v>17</v>
      </c>
      <c r="D180" s="379" t="s">
        <v>531</v>
      </c>
      <c r="E180"/>
      <c r="F180"/>
      <c r="G180"/>
      <c r="H180"/>
      <c r="I180"/>
      <c r="J180" t="str">
        <f t="shared" si="31"/>
        <v>LA-Yes</v>
      </c>
      <c r="K180" t="str">
        <f t="shared" si="32"/>
        <v>LA-Yes</v>
      </c>
      <c r="L180" s="415"/>
      <c r="M180" s="415"/>
      <c r="N180" s="255">
        <v>2007.5</v>
      </c>
      <c r="O180" s="416">
        <v>46047</v>
      </c>
      <c r="P180" s="416"/>
      <c r="Q180" s="416">
        <v>189250</v>
      </c>
      <c r="R180" s="416"/>
      <c r="S180" s="416">
        <v>8707</v>
      </c>
      <c r="T180" s="353">
        <f t="shared" si="33"/>
        <v>244004</v>
      </c>
      <c r="U180" s="386">
        <v>1</v>
      </c>
      <c r="V180" s="221">
        <f t="shared" si="34"/>
        <v>189250</v>
      </c>
      <c r="W180" s="388">
        <f t="shared" si="44"/>
        <v>46047</v>
      </c>
      <c r="X180" s="222">
        <f t="shared" si="35"/>
        <v>0.60860529458514134</v>
      </c>
      <c r="Y180" s="421">
        <f t="shared" si="43"/>
        <v>0.58688791987016597</v>
      </c>
      <c r="Z180" s="223">
        <f t="shared" si="36"/>
        <v>0.77560203931083094</v>
      </c>
      <c r="AA180" s="224" t="s">
        <v>267</v>
      </c>
      <c r="AB180" s="225" t="str">
        <f t="shared" si="38"/>
        <v>LA-Rep</v>
      </c>
      <c r="AC180" s="422" t="str">
        <f>C180&amp;"-"&amp;IF(Y180&gt;Instructions!$H$14,Instructions!$I$14,IF(Y180&gt;Instructions!$H$15,Instructions!$I$15,IF(Y180&gt;Instructions!$H$16,Instructions!$I$16,IF(Y180&gt;Instructions!$H$17,Instructions!$I$17,Instructions!$I$18))))</f>
        <v>LA-No contest</v>
      </c>
      <c r="AD180" s="226">
        <f t="shared" si="39"/>
        <v>46047</v>
      </c>
      <c r="AE180" s="226">
        <f t="shared" si="40"/>
        <v>0</v>
      </c>
      <c r="AF180" s="227">
        <f t="shared" si="41"/>
        <v>8707</v>
      </c>
      <c r="AG180" s="341">
        <f t="shared" si="42"/>
        <v>54754</v>
      </c>
    </row>
    <row r="181" spans="1:35">
      <c r="A181" s="352" t="s">
        <v>81</v>
      </c>
      <c r="B181" s="427">
        <v>2</v>
      </c>
      <c r="C181" s="220" t="s">
        <v>17</v>
      </c>
      <c r="D181" s="379" t="s">
        <v>532</v>
      </c>
      <c r="E181" s="379"/>
      <c r="F181" s="379" t="s">
        <v>269</v>
      </c>
      <c r="G181"/>
      <c r="H181"/>
      <c r="I181"/>
      <c r="J181" t="str">
        <f t="shared" si="31"/>
        <v>LA-Yes</v>
      </c>
      <c r="K181" t="str">
        <f t="shared" si="32"/>
        <v>LA-Yes</v>
      </c>
      <c r="L181" s="417"/>
      <c r="M181" s="417"/>
      <c r="N181" s="255">
        <v>2010</v>
      </c>
      <c r="O181" s="416">
        <v>152201</v>
      </c>
      <c r="P181" s="416">
        <v>37805</v>
      </c>
      <c r="Q181" s="416">
        <v>0</v>
      </c>
      <c r="R181" s="416"/>
      <c r="S181" s="416">
        <v>31564</v>
      </c>
      <c r="T181" s="353">
        <f t="shared" si="33"/>
        <v>221570</v>
      </c>
      <c r="U181" s="386">
        <f>57078+93093+43012+34405</f>
        <v>227588</v>
      </c>
      <c r="V181" s="221">
        <f t="shared" si="34"/>
        <v>152201</v>
      </c>
      <c r="W181" s="388">
        <f t="shared" si="44"/>
        <v>37805</v>
      </c>
      <c r="X181" s="222">
        <f t="shared" si="35"/>
        <v>1</v>
      </c>
      <c r="Y181" s="421">
        <f t="shared" si="43"/>
        <v>0.51629733267139055</v>
      </c>
      <c r="Z181" s="223">
        <f t="shared" si="36"/>
        <v>0.68692061199620891</v>
      </c>
      <c r="AA181" s="401" t="s">
        <v>267</v>
      </c>
      <c r="AB181" s="225" t="str">
        <f t="shared" si="38"/>
        <v>LA-Dem</v>
      </c>
      <c r="AC181" s="422" t="str">
        <f>C181&amp;"-"&amp;IF(Y181&gt;Instructions!$H$14,Instructions!$I$14,IF(Y181&gt;Instructions!$H$15,Instructions!$I$15,IF(Y181&gt;Instructions!$H$16,Instructions!$I$16,IF(Y181&gt;Instructions!$H$17,Instructions!$I$17,Instructions!$I$18))))</f>
        <v>LA-No contest</v>
      </c>
      <c r="AD181" s="226">
        <f t="shared" si="39"/>
        <v>0</v>
      </c>
      <c r="AE181" s="226">
        <f t="shared" si="40"/>
        <v>0</v>
      </c>
      <c r="AF181" s="227">
        <f t="shared" si="41"/>
        <v>31564</v>
      </c>
      <c r="AG181" s="341">
        <f t="shared" si="42"/>
        <v>31564</v>
      </c>
    </row>
    <row r="182" spans="1:35">
      <c r="A182" s="352" t="s">
        <v>81</v>
      </c>
      <c r="B182" s="427">
        <v>3</v>
      </c>
      <c r="C182" s="220" t="s">
        <v>17</v>
      </c>
      <c r="D182" s="379" t="s">
        <v>533</v>
      </c>
      <c r="E182" s="379"/>
      <c r="F182" s="379"/>
      <c r="G182"/>
      <c r="H182"/>
      <c r="I182"/>
      <c r="J182" t="str">
        <f t="shared" si="31"/>
        <v>LA-Yes</v>
      </c>
      <c r="K182" t="str">
        <f t="shared" si="32"/>
        <v>LA-Yes</v>
      </c>
      <c r="L182" s="415"/>
      <c r="M182" s="415"/>
      <c r="N182" s="255">
        <v>2004</v>
      </c>
      <c r="O182" s="416">
        <v>0</v>
      </c>
      <c r="P182" s="416"/>
      <c r="Q182" s="416">
        <v>185867</v>
      </c>
      <c r="R182" s="416">
        <v>22059</v>
      </c>
      <c r="S182" s="416">
        <v>28342</v>
      </c>
      <c r="T182" s="353">
        <f t="shared" si="33"/>
        <v>236268</v>
      </c>
      <c r="U182" s="386">
        <v>1</v>
      </c>
      <c r="V182" s="221">
        <f t="shared" si="34"/>
        <v>185867</v>
      </c>
      <c r="W182" s="388">
        <f t="shared" si="44"/>
        <v>28342</v>
      </c>
      <c r="X182" s="222">
        <f t="shared" si="35"/>
        <v>1</v>
      </c>
      <c r="Y182" s="421">
        <f t="shared" si="43"/>
        <v>0.66672168892952077</v>
      </c>
      <c r="Z182" s="223">
        <f t="shared" si="36"/>
        <v>0.78667868691485943</v>
      </c>
      <c r="AA182" s="224" t="s">
        <v>267</v>
      </c>
      <c r="AB182" s="225" t="str">
        <f t="shared" si="38"/>
        <v>LA-Rep</v>
      </c>
      <c r="AC182" s="422" t="str">
        <f>C182&amp;"-"&amp;IF(Y182&gt;Instructions!$H$14,Instructions!$I$14,IF(Y182&gt;Instructions!$H$15,Instructions!$I$15,IF(Y182&gt;Instructions!$H$16,Instructions!$I$16,IF(Y182&gt;Instructions!$H$17,Instructions!$I$17,Instructions!$I$18))))</f>
        <v>LA-No contest</v>
      </c>
      <c r="AD182" s="226">
        <f t="shared" si="39"/>
        <v>0</v>
      </c>
      <c r="AE182" s="226">
        <f t="shared" si="40"/>
        <v>0</v>
      </c>
      <c r="AF182" s="227">
        <f t="shared" si="41"/>
        <v>28342</v>
      </c>
      <c r="AG182" s="341">
        <f t="shared" si="42"/>
        <v>28342</v>
      </c>
      <c r="AH182" s="383"/>
    </row>
    <row r="183" spans="1:35">
      <c r="A183" s="352" t="s">
        <v>81</v>
      </c>
      <c r="B183" s="427">
        <v>4</v>
      </c>
      <c r="C183" s="220" t="s">
        <v>17</v>
      </c>
      <c r="D183" s="379" t="s">
        <v>534</v>
      </c>
      <c r="E183"/>
      <c r="F183"/>
      <c r="G183"/>
      <c r="H183"/>
      <c r="I183"/>
      <c r="J183" t="str">
        <f t="shared" si="31"/>
        <v>LA-Yes</v>
      </c>
      <c r="K183" t="str">
        <f t="shared" si="32"/>
        <v>LA-Yes</v>
      </c>
      <c r="L183" s="352"/>
      <c r="M183" s="352"/>
      <c r="N183" s="255">
        <v>2008</v>
      </c>
      <c r="O183" s="416">
        <v>0</v>
      </c>
      <c r="P183" s="416"/>
      <c r="Q183" s="416">
        <v>152683</v>
      </c>
      <c r="R183" s="416"/>
      <c r="S183" s="416">
        <v>55236</v>
      </c>
      <c r="T183" s="353">
        <f t="shared" si="33"/>
        <v>207919</v>
      </c>
      <c r="U183" s="386">
        <v>312416</v>
      </c>
      <c r="V183" s="221">
        <f t="shared" si="34"/>
        <v>152683</v>
      </c>
      <c r="W183" s="388">
        <f t="shared" si="44"/>
        <v>55236</v>
      </c>
      <c r="X183" s="222">
        <f t="shared" si="35"/>
        <v>1</v>
      </c>
      <c r="Y183" s="421">
        <f t="shared" si="43"/>
        <v>0.46867770622213456</v>
      </c>
      <c r="Z183" s="223">
        <f t="shared" si="36"/>
        <v>0.73433885311106728</v>
      </c>
      <c r="AA183" s="224" t="s">
        <v>269</v>
      </c>
      <c r="AB183" s="225" t="str">
        <f t="shared" si="38"/>
        <v>LA-Rep</v>
      </c>
      <c r="AC183" s="422" t="str">
        <f>C183&amp;"-"&amp;IF(Y183&gt;Instructions!$H$14,Instructions!$I$14,IF(Y183&gt;Instructions!$H$15,Instructions!$I$15,IF(Y183&gt;Instructions!$H$16,Instructions!$I$16,IF(Y183&gt;Instructions!$H$17,Instructions!$I$17,Instructions!$I$18))))</f>
        <v>LA-No contest</v>
      </c>
      <c r="AD183" s="226">
        <f t="shared" si="39"/>
        <v>0</v>
      </c>
      <c r="AE183" s="226">
        <f t="shared" si="40"/>
        <v>0</v>
      </c>
      <c r="AF183" s="227">
        <f t="shared" si="41"/>
        <v>55236</v>
      </c>
      <c r="AG183" s="341">
        <f t="shared" si="42"/>
        <v>55236</v>
      </c>
    </row>
    <row r="184" spans="1:35">
      <c r="A184" s="352" t="s">
        <v>81</v>
      </c>
      <c r="B184" s="426">
        <v>5</v>
      </c>
      <c r="C184" s="220" t="s">
        <v>17</v>
      </c>
      <c r="D184" s="379" t="s">
        <v>787</v>
      </c>
      <c r="E184"/>
      <c r="F184" s="379"/>
      <c r="G184"/>
      <c r="H184"/>
      <c r="I184"/>
      <c r="J184" t="str">
        <f t="shared" si="31"/>
        <v>LA-No</v>
      </c>
      <c r="K184" t="str">
        <f t="shared" si="32"/>
        <v>LA-No</v>
      </c>
      <c r="L184" s="415">
        <v>0</v>
      </c>
      <c r="M184" s="415"/>
      <c r="N184" s="255">
        <v>2014</v>
      </c>
      <c r="O184" s="416">
        <v>67611</v>
      </c>
      <c r="P184" s="416"/>
      <c r="Q184" s="416">
        <v>168084</v>
      </c>
      <c r="R184" s="416"/>
      <c r="S184" s="416">
        <v>3856</v>
      </c>
      <c r="T184" s="353">
        <f t="shared" si="33"/>
        <v>239551</v>
      </c>
      <c r="U184" s="397">
        <v>286299</v>
      </c>
      <c r="V184" s="221">
        <f t="shared" si="34"/>
        <v>168084</v>
      </c>
      <c r="W184" s="388">
        <f t="shared" si="44"/>
        <v>67611</v>
      </c>
      <c r="X184" s="222">
        <f t="shared" si="35"/>
        <v>0.42628396868834723</v>
      </c>
      <c r="Y184" s="421">
        <f t="shared" si="43"/>
        <v>0.41942216897445639</v>
      </c>
      <c r="Z184" s="223">
        <f t="shared" si="36"/>
        <v>0.70166269395661052</v>
      </c>
      <c r="AA184" s="224" t="s">
        <v>267</v>
      </c>
      <c r="AB184" s="225" t="str">
        <f t="shared" si="38"/>
        <v>LA-Rep</v>
      </c>
      <c r="AC184" s="422" t="str">
        <f>C184&amp;"-"&amp;IF(Y184&gt;Instructions!$H$14,Instructions!$I$14,IF(Y184&gt;Instructions!$H$15,Instructions!$I$15,IF(Y184&gt;Instructions!$H$16,Instructions!$I$16,IF(Y184&gt;Instructions!$H$17,Instructions!$I$17,Instructions!$I$18))))</f>
        <v>LA-No contest</v>
      </c>
      <c r="AD184" s="226">
        <f t="shared" si="39"/>
        <v>67611</v>
      </c>
      <c r="AE184" s="226">
        <f t="shared" si="40"/>
        <v>0</v>
      </c>
      <c r="AF184" s="227">
        <f t="shared" si="41"/>
        <v>3856</v>
      </c>
      <c r="AG184" s="341">
        <f t="shared" si="42"/>
        <v>71467</v>
      </c>
      <c r="AH184" s="413">
        <f>SUM(AG178:AG184)</f>
        <v>387270</v>
      </c>
    </row>
    <row r="185" spans="1:35">
      <c r="A185" s="352" t="s">
        <v>81</v>
      </c>
      <c r="B185" s="426">
        <v>6</v>
      </c>
      <c r="C185" s="220" t="s">
        <v>17</v>
      </c>
      <c r="D185" s="379" t="s">
        <v>788</v>
      </c>
      <c r="E185" s="381"/>
      <c r="F185" s="379"/>
      <c r="G185"/>
      <c r="H185"/>
      <c r="I185"/>
      <c r="J185" t="str">
        <f t="shared" si="31"/>
        <v>LA-No</v>
      </c>
      <c r="K185" t="str">
        <f t="shared" si="32"/>
        <v>LA-No</v>
      </c>
      <c r="L185" s="415">
        <v>0</v>
      </c>
      <c r="M185" s="415"/>
      <c r="N185" s="255">
        <v>2014</v>
      </c>
      <c r="O185" s="416">
        <v>89212</v>
      </c>
      <c r="P185" s="416"/>
      <c r="Q185" s="416">
        <v>165706</v>
      </c>
      <c r="R185" s="416"/>
      <c r="S185" s="416">
        <v>3561</v>
      </c>
      <c r="T185" s="353">
        <f t="shared" si="33"/>
        <v>258479</v>
      </c>
      <c r="U185" s="396"/>
      <c r="V185" s="221">
        <f t="shared" si="34"/>
        <v>165706</v>
      </c>
      <c r="W185" s="388">
        <f t="shared" si="44"/>
        <v>89212</v>
      </c>
      <c r="X185" s="222">
        <f t="shared" si="35"/>
        <v>0.30007296463960959</v>
      </c>
      <c r="Y185" s="421">
        <f t="shared" si="43"/>
        <v>0.29593893507789804</v>
      </c>
      <c r="Z185" s="223">
        <f t="shared" si="36"/>
        <v>0.64108109362849597</v>
      </c>
      <c r="AA185" s="224" t="str">
        <f t="shared" ref="AA185:AA248" si="46">C185&amp;"-"&amp;IF(O185*Q185=0,"Yes","No")</f>
        <v>LA-No</v>
      </c>
      <c r="AB185" s="225" t="str">
        <f t="shared" si="38"/>
        <v>LA-Rep</v>
      </c>
      <c r="AC185" s="422" t="str">
        <f>C185&amp;"-"&amp;IF(Y185&gt;Instructions!$H$14,Instructions!$I$14,IF(Y185&gt;Instructions!$H$15,Instructions!$I$15,IF(Y185&gt;Instructions!$H$16,Instructions!$I$16,IF(Y185&gt;Instructions!$H$17,Instructions!$I$17,Instructions!$I$18))))</f>
        <v>LA-Landslide</v>
      </c>
      <c r="AD185" s="226">
        <f t="shared" si="39"/>
        <v>89212</v>
      </c>
      <c r="AE185" s="226">
        <f t="shared" si="40"/>
        <v>0</v>
      </c>
      <c r="AF185" s="227">
        <f t="shared" si="41"/>
        <v>3561</v>
      </c>
      <c r="AG185" s="341">
        <f t="shared" si="42"/>
        <v>92773</v>
      </c>
    </row>
    <row r="186" spans="1:35">
      <c r="A186" s="352" t="s">
        <v>82</v>
      </c>
      <c r="B186" s="427">
        <v>1</v>
      </c>
      <c r="C186" s="220" t="s">
        <v>18</v>
      </c>
      <c r="D186" s="379" t="s">
        <v>535</v>
      </c>
      <c r="E186" s="379" t="s">
        <v>354</v>
      </c>
      <c r="F186" s="379"/>
      <c r="G186"/>
      <c r="H186"/>
      <c r="I186"/>
      <c r="J186" t="str">
        <f t="shared" si="31"/>
        <v>ME-Yes</v>
      </c>
      <c r="K186" t="str">
        <f t="shared" si="32"/>
        <v>ME-Yes</v>
      </c>
      <c r="L186" s="417"/>
      <c r="M186" s="417"/>
      <c r="N186" s="255">
        <v>2008</v>
      </c>
      <c r="O186" s="416">
        <v>186674</v>
      </c>
      <c r="P186" s="416"/>
      <c r="Q186" s="416">
        <v>94751</v>
      </c>
      <c r="R186" s="416"/>
      <c r="S186" s="416">
        <v>27473</v>
      </c>
      <c r="T186" s="353">
        <f t="shared" si="33"/>
        <v>308898</v>
      </c>
      <c r="U186" s="228"/>
      <c r="V186" s="221">
        <f t="shared" si="34"/>
        <v>186674</v>
      </c>
      <c r="W186" s="388">
        <f t="shared" si="44"/>
        <v>94751</v>
      </c>
      <c r="X186" s="222">
        <f t="shared" si="35"/>
        <v>0.32663409434129875</v>
      </c>
      <c r="Y186" s="421">
        <f t="shared" si="43"/>
        <v>0.29758366839539258</v>
      </c>
      <c r="Z186" s="223">
        <f t="shared" si="36"/>
        <v>0.60432246243096421</v>
      </c>
      <c r="AA186" s="224" t="str">
        <f t="shared" si="46"/>
        <v>ME-No</v>
      </c>
      <c r="AB186" s="225" t="str">
        <f t="shared" si="38"/>
        <v>ME-Dem</v>
      </c>
      <c r="AC186" s="422" t="str">
        <f>C186&amp;"-"&amp;IF(Y186&gt;Instructions!$H$14,Instructions!$I$14,IF(Y186&gt;Instructions!$H$15,Instructions!$I$15,IF(Y186&gt;Instructions!$H$16,Instructions!$I$16,IF(Y186&gt;Instructions!$H$17,Instructions!$I$17,Instructions!$I$18))))</f>
        <v>ME-Landslide</v>
      </c>
      <c r="AD186" s="226">
        <f t="shared" si="39"/>
        <v>0</v>
      </c>
      <c r="AE186" s="226">
        <f t="shared" si="40"/>
        <v>94751</v>
      </c>
      <c r="AF186" s="227">
        <f t="shared" si="41"/>
        <v>27473</v>
      </c>
      <c r="AG186" s="341">
        <f t="shared" si="42"/>
        <v>122224</v>
      </c>
      <c r="AH186" s="413">
        <f>SUM(AG185:AG186)</f>
        <v>214997</v>
      </c>
    </row>
    <row r="187" spans="1:35">
      <c r="A187" s="352" t="s">
        <v>82</v>
      </c>
      <c r="B187" s="427">
        <v>2</v>
      </c>
      <c r="C187" s="220" t="s">
        <v>18</v>
      </c>
      <c r="D187" s="379" t="s">
        <v>789</v>
      </c>
      <c r="E187" s="379"/>
      <c r="F187"/>
      <c r="G187"/>
      <c r="H187"/>
      <c r="I187"/>
      <c r="J187" t="str">
        <f t="shared" si="31"/>
        <v>ME-No</v>
      </c>
      <c r="K187" t="str">
        <f t="shared" si="32"/>
        <v>ME-No</v>
      </c>
      <c r="L187" s="415">
        <v>0</v>
      </c>
      <c r="M187" s="417">
        <v>1</v>
      </c>
      <c r="N187" s="255">
        <v>2014</v>
      </c>
      <c r="O187" s="416">
        <v>118568</v>
      </c>
      <c r="P187" s="416"/>
      <c r="Q187" s="416">
        <v>133320</v>
      </c>
      <c r="R187" s="416"/>
      <c r="S187" s="416">
        <v>31585</v>
      </c>
      <c r="T187" s="353">
        <f t="shared" si="33"/>
        <v>283473</v>
      </c>
      <c r="U187" s="228"/>
      <c r="V187" s="221">
        <f t="shared" si="34"/>
        <v>133320</v>
      </c>
      <c r="W187" s="388">
        <f t="shared" si="44"/>
        <v>118568</v>
      </c>
      <c r="X187" s="222">
        <f t="shared" si="35"/>
        <v>5.8565711744902493E-2</v>
      </c>
      <c r="Y187" s="421">
        <f t="shared" si="43"/>
        <v>5.2040229580947728E-2</v>
      </c>
      <c r="Z187" s="223">
        <f t="shared" si="36"/>
        <v>0.47030934163041982</v>
      </c>
      <c r="AA187" s="224" t="str">
        <f t="shared" si="46"/>
        <v>ME-No</v>
      </c>
      <c r="AB187" s="225" t="str">
        <f t="shared" si="38"/>
        <v>ME-Rep</v>
      </c>
      <c r="AC187" s="422" t="str">
        <f>C187&amp;"-"&amp;IF(Y187&gt;Instructions!$H$14,Instructions!$I$14,IF(Y187&gt;Instructions!$H$15,Instructions!$I$15,IF(Y187&gt;Instructions!$H$16,Instructions!$I$16,IF(Y187&gt;Instructions!$H$17,Instructions!$I$17,Instructions!$I$18))))</f>
        <v>ME-Competitive</v>
      </c>
      <c r="AD187" s="226">
        <f t="shared" si="39"/>
        <v>118568</v>
      </c>
      <c r="AE187" s="226">
        <f t="shared" si="40"/>
        <v>0</v>
      </c>
      <c r="AF187" s="227">
        <f t="shared" si="41"/>
        <v>31585</v>
      </c>
      <c r="AG187" s="341">
        <f t="shared" si="42"/>
        <v>150153</v>
      </c>
    </row>
    <row r="188" spans="1:35">
      <c r="A188" s="352" t="s">
        <v>83</v>
      </c>
      <c r="B188" s="427">
        <v>1</v>
      </c>
      <c r="C188" s="220" t="s">
        <v>19</v>
      </c>
      <c r="D188" s="379" t="s">
        <v>536</v>
      </c>
      <c r="E188"/>
      <c r="F188"/>
      <c r="G188"/>
      <c r="H188"/>
      <c r="I188"/>
      <c r="J188" t="str">
        <f t="shared" si="31"/>
        <v>MD-Yes</v>
      </c>
      <c r="K188" t="str">
        <f t="shared" si="32"/>
        <v>MD-Yes</v>
      </c>
      <c r="L188" s="415"/>
      <c r="M188" s="415"/>
      <c r="N188" s="255">
        <v>2010</v>
      </c>
      <c r="O188" s="416">
        <v>73843</v>
      </c>
      <c r="P188" s="416"/>
      <c r="Q188" s="416">
        <v>176342</v>
      </c>
      <c r="R188" s="416"/>
      <c r="S188" s="416">
        <v>233</v>
      </c>
      <c r="T188" s="353">
        <f t="shared" si="33"/>
        <v>250418</v>
      </c>
      <c r="U188" s="228"/>
      <c r="V188" s="221">
        <f t="shared" si="34"/>
        <v>176342</v>
      </c>
      <c r="W188" s="388">
        <f t="shared" si="44"/>
        <v>73843</v>
      </c>
      <c r="X188" s="222">
        <f t="shared" si="35"/>
        <v>0.40969282730779222</v>
      </c>
      <c r="Y188" s="421">
        <f t="shared" si="43"/>
        <v>0.40931163095304651</v>
      </c>
      <c r="Z188" s="223">
        <f t="shared" si="36"/>
        <v>0.70419059332795564</v>
      </c>
      <c r="AA188" s="224" t="str">
        <f t="shared" si="46"/>
        <v>MD-No</v>
      </c>
      <c r="AB188" s="225" t="str">
        <f t="shared" si="38"/>
        <v>MD-Rep</v>
      </c>
      <c r="AC188" s="422" t="str">
        <f>C188&amp;"-"&amp;IF(Y188&gt;Instructions!$H$14,Instructions!$I$14,IF(Y188&gt;Instructions!$H$15,Instructions!$I$15,IF(Y188&gt;Instructions!$H$16,Instructions!$I$16,IF(Y188&gt;Instructions!$H$17,Instructions!$I$17,Instructions!$I$18))))</f>
        <v>MD-No contest</v>
      </c>
      <c r="AD188" s="226">
        <f t="shared" si="39"/>
        <v>73843</v>
      </c>
      <c r="AE188" s="226">
        <f t="shared" si="40"/>
        <v>0</v>
      </c>
      <c r="AF188" s="227">
        <f t="shared" si="41"/>
        <v>233</v>
      </c>
      <c r="AG188" s="341">
        <f t="shared" si="42"/>
        <v>74076</v>
      </c>
      <c r="AH188" s="380"/>
    </row>
    <row r="189" spans="1:35">
      <c r="A189" s="352" t="s">
        <v>83</v>
      </c>
      <c r="B189" s="427">
        <v>2</v>
      </c>
      <c r="C189" s="220" t="s">
        <v>19</v>
      </c>
      <c r="D189" s="379" t="s">
        <v>537</v>
      </c>
      <c r="E189"/>
      <c r="F189"/>
      <c r="G189"/>
      <c r="H189"/>
      <c r="I189"/>
      <c r="J189" t="str">
        <f t="shared" si="31"/>
        <v>MD-Yes</v>
      </c>
      <c r="K189" t="str">
        <f t="shared" si="32"/>
        <v>MD-Yes</v>
      </c>
      <c r="L189" s="417"/>
      <c r="M189" s="417"/>
      <c r="N189" s="255">
        <v>2002</v>
      </c>
      <c r="O189" s="416">
        <v>120412</v>
      </c>
      <c r="P189" s="416"/>
      <c r="Q189" s="416">
        <v>70411</v>
      </c>
      <c r="R189" s="416"/>
      <c r="S189" s="416">
        <v>5531</v>
      </c>
      <c r="T189" s="353">
        <f t="shared" si="33"/>
        <v>196354</v>
      </c>
      <c r="U189" s="228"/>
      <c r="V189" s="221">
        <f t="shared" si="34"/>
        <v>120412</v>
      </c>
      <c r="W189" s="388">
        <f t="shared" si="44"/>
        <v>70411</v>
      </c>
      <c r="X189" s="222">
        <f t="shared" si="35"/>
        <v>0.26202816222363134</v>
      </c>
      <c r="Y189" s="421">
        <f t="shared" si="43"/>
        <v>0.25464721879870028</v>
      </c>
      <c r="Z189" s="223">
        <f t="shared" si="36"/>
        <v>0.61323935341271374</v>
      </c>
      <c r="AA189" s="224" t="str">
        <f t="shared" si="46"/>
        <v>MD-No</v>
      </c>
      <c r="AB189" s="225" t="str">
        <f t="shared" si="38"/>
        <v>MD-Dem</v>
      </c>
      <c r="AC189" s="422" t="str">
        <f>C189&amp;"-"&amp;IF(Y189&gt;Instructions!$H$14,Instructions!$I$14,IF(Y189&gt;Instructions!$H$15,Instructions!$I$15,IF(Y189&gt;Instructions!$H$16,Instructions!$I$16,IF(Y189&gt;Instructions!$H$17,Instructions!$I$17,Instructions!$I$18))))</f>
        <v>MD-Landslide</v>
      </c>
      <c r="AD189" s="226">
        <f t="shared" si="39"/>
        <v>0</v>
      </c>
      <c r="AE189" s="226">
        <f t="shared" si="40"/>
        <v>70411</v>
      </c>
      <c r="AF189" s="227">
        <f t="shared" si="41"/>
        <v>5531</v>
      </c>
      <c r="AG189" s="341">
        <f t="shared" si="42"/>
        <v>75942</v>
      </c>
    </row>
    <row r="190" spans="1:35">
      <c r="A190" s="352" t="s">
        <v>83</v>
      </c>
      <c r="B190" s="427">
        <v>3</v>
      </c>
      <c r="C190" s="220" t="s">
        <v>19</v>
      </c>
      <c r="D190" s="379" t="s">
        <v>538</v>
      </c>
      <c r="E190" s="381"/>
      <c r="F190" s="381"/>
      <c r="G190"/>
      <c r="H190"/>
      <c r="I190"/>
      <c r="J190" t="str">
        <f t="shared" si="31"/>
        <v>MD-Yes</v>
      </c>
      <c r="K190" t="str">
        <f t="shared" si="32"/>
        <v>MD-Yes</v>
      </c>
      <c r="L190" s="417"/>
      <c r="M190" s="417"/>
      <c r="N190" s="255">
        <v>2006</v>
      </c>
      <c r="O190" s="416">
        <v>128594</v>
      </c>
      <c r="P190" s="416"/>
      <c r="Q190" s="416">
        <v>87029</v>
      </c>
      <c r="R190" s="416"/>
      <c r="S190" s="416">
        <v>323</v>
      </c>
      <c r="T190" s="353">
        <f t="shared" si="33"/>
        <v>215946</v>
      </c>
      <c r="U190" s="396"/>
      <c r="V190" s="221">
        <f t="shared" si="34"/>
        <v>128594</v>
      </c>
      <c r="W190" s="388">
        <f t="shared" si="44"/>
        <v>87029</v>
      </c>
      <c r="X190" s="222">
        <f t="shared" si="35"/>
        <v>0.19276700537512231</v>
      </c>
      <c r="Y190" s="421">
        <f t="shared" si="43"/>
        <v>0.19247867522436168</v>
      </c>
      <c r="Z190" s="223">
        <f t="shared" si="36"/>
        <v>0.59549146545895737</v>
      </c>
      <c r="AA190" s="224" t="str">
        <f t="shared" si="46"/>
        <v>MD-No</v>
      </c>
      <c r="AB190" s="225" t="str">
        <f t="shared" si="38"/>
        <v>MD-Dem</v>
      </c>
      <c r="AC190" s="422" t="str">
        <f>C190&amp;"-"&amp;IF(Y190&gt;Instructions!$H$14,Instructions!$I$14,IF(Y190&gt;Instructions!$H$15,Instructions!$I$15,IF(Y190&gt;Instructions!$H$16,Instructions!$I$16,IF(Y190&gt;Instructions!$H$17,Instructions!$I$17,Instructions!$I$18))))</f>
        <v>MD-Opportunity</v>
      </c>
      <c r="AD190" s="226">
        <f t="shared" si="39"/>
        <v>0</v>
      </c>
      <c r="AE190" s="226">
        <f t="shared" si="40"/>
        <v>87029</v>
      </c>
      <c r="AF190" s="227">
        <f t="shared" si="41"/>
        <v>323</v>
      </c>
      <c r="AG190" s="341">
        <f t="shared" si="42"/>
        <v>87352</v>
      </c>
    </row>
    <row r="191" spans="1:35">
      <c r="A191" s="352" t="s">
        <v>83</v>
      </c>
      <c r="B191" s="427">
        <v>4</v>
      </c>
      <c r="C191" s="220" t="s">
        <v>19</v>
      </c>
      <c r="D191" s="379" t="s">
        <v>539</v>
      </c>
      <c r="E191" s="379" t="s">
        <v>355</v>
      </c>
      <c r="F191" s="379" t="s">
        <v>355</v>
      </c>
      <c r="G191"/>
      <c r="H191"/>
      <c r="I191"/>
      <c r="J191" t="str">
        <f t="shared" si="31"/>
        <v>MD-Yes</v>
      </c>
      <c r="K191" t="str">
        <f t="shared" si="32"/>
        <v>MD-Yes</v>
      </c>
      <c r="L191" s="417"/>
      <c r="M191" s="417"/>
      <c r="N191" s="255">
        <v>2007.5</v>
      </c>
      <c r="O191" s="416">
        <v>134628</v>
      </c>
      <c r="P191" s="416"/>
      <c r="Q191" s="416">
        <v>54217</v>
      </c>
      <c r="R191" s="416"/>
      <c r="S191" s="416">
        <v>2992</v>
      </c>
      <c r="T191" s="353">
        <f t="shared" si="33"/>
        <v>191837</v>
      </c>
      <c r="U191" s="396"/>
      <c r="V191" s="221">
        <f t="shared" si="34"/>
        <v>134628</v>
      </c>
      <c r="W191" s="388">
        <f t="shared" si="44"/>
        <v>54217</v>
      </c>
      <c r="X191" s="222">
        <f t="shared" si="35"/>
        <v>0.42580423098308134</v>
      </c>
      <c r="Y191" s="421">
        <f t="shared" si="43"/>
        <v>0.41916314371054586</v>
      </c>
      <c r="Z191" s="223">
        <f t="shared" si="36"/>
        <v>0.70178328476779761</v>
      </c>
      <c r="AA191" s="224" t="str">
        <f t="shared" si="46"/>
        <v>MD-No</v>
      </c>
      <c r="AB191" s="225" t="str">
        <f t="shared" si="38"/>
        <v>MD-Dem</v>
      </c>
      <c r="AC191" s="422" t="str">
        <f>C191&amp;"-"&amp;IF(Y191&gt;Instructions!$H$14,Instructions!$I$14,IF(Y191&gt;Instructions!$H$15,Instructions!$I$15,IF(Y191&gt;Instructions!$H$16,Instructions!$I$16,IF(Y191&gt;Instructions!$H$17,Instructions!$I$17,Instructions!$I$18))))</f>
        <v>MD-No contest</v>
      </c>
      <c r="AD191" s="226">
        <f t="shared" si="39"/>
        <v>0</v>
      </c>
      <c r="AE191" s="226">
        <f t="shared" si="40"/>
        <v>54217</v>
      </c>
      <c r="AF191" s="227">
        <f t="shared" si="41"/>
        <v>2992</v>
      </c>
      <c r="AG191" s="341">
        <f t="shared" si="42"/>
        <v>57209</v>
      </c>
    </row>
    <row r="192" spans="1:35">
      <c r="A192" s="352" t="s">
        <v>83</v>
      </c>
      <c r="B192" s="427">
        <v>5</v>
      </c>
      <c r="C192" s="220" t="s">
        <v>19</v>
      </c>
      <c r="D192" s="379" t="s">
        <v>540</v>
      </c>
      <c r="E192" s="379"/>
      <c r="F192" s="379"/>
      <c r="G192"/>
      <c r="H192"/>
      <c r="I192"/>
      <c r="J192" t="str">
        <f t="shared" si="31"/>
        <v>MD-Yes</v>
      </c>
      <c r="K192" t="str">
        <f t="shared" si="32"/>
        <v>MD-Yes</v>
      </c>
      <c r="L192" s="417"/>
      <c r="M192" s="417"/>
      <c r="N192" s="255">
        <v>1981</v>
      </c>
      <c r="O192" s="416">
        <v>144725</v>
      </c>
      <c r="P192" s="416"/>
      <c r="Q192" s="416">
        <v>80752</v>
      </c>
      <c r="R192" s="416"/>
      <c r="S192" s="416">
        <v>563</v>
      </c>
      <c r="T192" s="353">
        <f t="shared" si="33"/>
        <v>226040</v>
      </c>
      <c r="U192" s="228"/>
      <c r="V192" s="221">
        <f t="shared" si="34"/>
        <v>144725</v>
      </c>
      <c r="W192" s="388">
        <f t="shared" si="44"/>
        <v>80752</v>
      </c>
      <c r="X192" s="222">
        <f t="shared" si="35"/>
        <v>0.28372295178665674</v>
      </c>
      <c r="Y192" s="421">
        <f t="shared" si="43"/>
        <v>0.28301628030437093</v>
      </c>
      <c r="Z192" s="223">
        <f t="shared" si="36"/>
        <v>0.64026278534772607</v>
      </c>
      <c r="AA192" s="224" t="str">
        <f t="shared" si="46"/>
        <v>MD-No</v>
      </c>
      <c r="AB192" s="225" t="str">
        <f t="shared" si="38"/>
        <v>MD-Dem</v>
      </c>
      <c r="AC192" s="422" t="str">
        <f>C192&amp;"-"&amp;IF(Y192&gt;Instructions!$H$14,Instructions!$I$14,IF(Y192&gt;Instructions!$H$15,Instructions!$I$15,IF(Y192&gt;Instructions!$H$16,Instructions!$I$16,IF(Y192&gt;Instructions!$H$17,Instructions!$I$17,Instructions!$I$18))))</f>
        <v>MD-Landslide</v>
      </c>
      <c r="AD192" s="226">
        <f t="shared" si="39"/>
        <v>0</v>
      </c>
      <c r="AE192" s="226">
        <f t="shared" si="40"/>
        <v>80752</v>
      </c>
      <c r="AF192" s="227">
        <f t="shared" si="41"/>
        <v>563</v>
      </c>
      <c r="AG192" s="341">
        <f t="shared" si="42"/>
        <v>81315</v>
      </c>
    </row>
    <row r="193" spans="1:34">
      <c r="A193" s="352" t="s">
        <v>83</v>
      </c>
      <c r="B193" s="427">
        <v>6</v>
      </c>
      <c r="C193" s="220" t="s">
        <v>19</v>
      </c>
      <c r="D193" s="379" t="s">
        <v>541</v>
      </c>
      <c r="E193"/>
      <c r="F193" s="381"/>
      <c r="G193"/>
      <c r="H193"/>
      <c r="I193"/>
      <c r="J193" t="str">
        <f t="shared" si="31"/>
        <v>MD-Yes</v>
      </c>
      <c r="K193" t="str">
        <f t="shared" si="32"/>
        <v>MD-Yes</v>
      </c>
      <c r="L193" s="417"/>
      <c r="M193" s="417"/>
      <c r="N193" s="255">
        <v>2012</v>
      </c>
      <c r="O193" s="416">
        <v>94704</v>
      </c>
      <c r="P193" s="416"/>
      <c r="Q193" s="416">
        <v>91930</v>
      </c>
      <c r="R193" s="416"/>
      <c r="S193" s="416">
        <v>3902</v>
      </c>
      <c r="T193" s="353">
        <f t="shared" si="33"/>
        <v>190536</v>
      </c>
      <c r="U193" s="228"/>
      <c r="V193" s="221">
        <f t="shared" si="34"/>
        <v>94704</v>
      </c>
      <c r="W193" s="388">
        <f t="shared" si="44"/>
        <v>91930</v>
      </c>
      <c r="X193" s="222">
        <f t="shared" si="35"/>
        <v>1.4863315365903318E-2</v>
      </c>
      <c r="Y193" s="421">
        <f t="shared" si="43"/>
        <v>1.4558928496452073E-2</v>
      </c>
      <c r="Z193" s="223">
        <f t="shared" si="36"/>
        <v>0.49703992946214887</v>
      </c>
      <c r="AA193" s="224" t="str">
        <f t="shared" si="46"/>
        <v>MD-No</v>
      </c>
      <c r="AB193" s="225" t="str">
        <f t="shared" si="38"/>
        <v>MD-Dem</v>
      </c>
      <c r="AC193" s="422" t="str">
        <f>C193&amp;"-"&amp;IF(Y193&gt;Instructions!$H$14,Instructions!$I$14,IF(Y193&gt;Instructions!$H$15,Instructions!$I$15,IF(Y193&gt;Instructions!$H$16,Instructions!$I$16,IF(Y193&gt;Instructions!$H$17,Instructions!$I$17,Instructions!$I$18))))</f>
        <v>MD-Tight</v>
      </c>
      <c r="AD193" s="226">
        <f t="shared" si="39"/>
        <v>0</v>
      </c>
      <c r="AE193" s="226">
        <f t="shared" si="40"/>
        <v>91930</v>
      </c>
      <c r="AF193" s="227">
        <f t="shared" si="41"/>
        <v>3902</v>
      </c>
      <c r="AG193" s="341">
        <f t="shared" si="42"/>
        <v>95832</v>
      </c>
      <c r="AH193" s="380"/>
    </row>
    <row r="194" spans="1:34">
      <c r="A194" s="352" t="s">
        <v>83</v>
      </c>
      <c r="B194" s="427">
        <v>7</v>
      </c>
      <c r="C194" s="220" t="s">
        <v>19</v>
      </c>
      <c r="D194" s="379" t="s">
        <v>542</v>
      </c>
      <c r="E194" s="379"/>
      <c r="F194" t="s">
        <v>355</v>
      </c>
      <c r="G194" s="379"/>
      <c r="H194"/>
      <c r="I194"/>
      <c r="J194" t="str">
        <f t="shared" si="31"/>
        <v>MD-Yes</v>
      </c>
      <c r="K194" t="str">
        <f t="shared" si="32"/>
        <v>MD-Yes</v>
      </c>
      <c r="L194" s="417"/>
      <c r="M194" s="417"/>
      <c r="N194" s="255">
        <v>1996</v>
      </c>
      <c r="O194" s="416">
        <v>144639</v>
      </c>
      <c r="P194" s="416"/>
      <c r="Q194" s="416">
        <v>55860</v>
      </c>
      <c r="R194" s="416"/>
      <c r="S194" s="416">
        <v>6310</v>
      </c>
      <c r="T194" s="353">
        <f t="shared" si="33"/>
        <v>206809</v>
      </c>
      <c r="U194" s="228"/>
      <c r="V194" s="221">
        <f t="shared" si="34"/>
        <v>144639</v>
      </c>
      <c r="W194" s="388">
        <f t="shared" si="44"/>
        <v>55860</v>
      </c>
      <c r="X194" s="222">
        <f t="shared" si="35"/>
        <v>0.44279023835530351</v>
      </c>
      <c r="Y194" s="421">
        <f t="shared" si="43"/>
        <v>0.42928015705312633</v>
      </c>
      <c r="Z194" s="223">
        <f t="shared" si="36"/>
        <v>0.69938445618904399</v>
      </c>
      <c r="AA194" s="224" t="str">
        <f t="shared" si="46"/>
        <v>MD-No</v>
      </c>
      <c r="AB194" s="225" t="str">
        <f t="shared" si="38"/>
        <v>MD-Dem</v>
      </c>
      <c r="AC194" s="422" t="str">
        <f>C194&amp;"-"&amp;IF(Y194&gt;Instructions!$H$14,Instructions!$I$14,IF(Y194&gt;Instructions!$H$15,Instructions!$I$15,IF(Y194&gt;Instructions!$H$16,Instructions!$I$16,IF(Y194&gt;Instructions!$H$17,Instructions!$I$17,Instructions!$I$18))))</f>
        <v>MD-No contest</v>
      </c>
      <c r="AD194" s="226">
        <f t="shared" si="39"/>
        <v>0</v>
      </c>
      <c r="AE194" s="226">
        <f t="shared" si="40"/>
        <v>55860</v>
      </c>
      <c r="AF194" s="227">
        <f t="shared" si="41"/>
        <v>6310</v>
      </c>
      <c r="AG194" s="341">
        <f t="shared" si="42"/>
        <v>62170</v>
      </c>
      <c r="AH194" s="413">
        <f>SUM(AG187:AG194)</f>
        <v>684049</v>
      </c>
    </row>
    <row r="195" spans="1:34">
      <c r="A195" s="352" t="s">
        <v>83</v>
      </c>
      <c r="B195" s="427">
        <v>8</v>
      </c>
      <c r="C195" s="220" t="s">
        <v>19</v>
      </c>
      <c r="D195" s="379" t="s">
        <v>543</v>
      </c>
      <c r="E195" s="379"/>
      <c r="F195" s="379"/>
      <c r="G195" s="379"/>
      <c r="H195"/>
      <c r="I195"/>
      <c r="J195" t="str">
        <f t="shared" si="31"/>
        <v>MD-Yes</v>
      </c>
      <c r="K195" t="str">
        <f t="shared" si="32"/>
        <v>MD-Yes</v>
      </c>
      <c r="L195" s="417"/>
      <c r="M195" s="417"/>
      <c r="N195" s="255">
        <v>2002</v>
      </c>
      <c r="O195" s="416">
        <v>136722</v>
      </c>
      <c r="P195" s="416"/>
      <c r="Q195" s="416">
        <v>87859</v>
      </c>
      <c r="R195" s="416"/>
      <c r="S195" s="416">
        <v>516</v>
      </c>
      <c r="T195" s="353">
        <f t="shared" si="33"/>
        <v>225097</v>
      </c>
      <c r="U195" s="396"/>
      <c r="V195" s="221">
        <f t="shared" si="34"/>
        <v>136722</v>
      </c>
      <c r="W195" s="388">
        <f t="shared" si="44"/>
        <v>87859</v>
      </c>
      <c r="X195" s="222">
        <f t="shared" si="35"/>
        <v>0.21757406013865821</v>
      </c>
      <c r="Y195" s="421">
        <f t="shared" si="43"/>
        <v>0.21707530531282071</v>
      </c>
      <c r="Z195" s="223">
        <f t="shared" si="36"/>
        <v>0.60739148011746047</v>
      </c>
      <c r="AA195" s="224" t="str">
        <f t="shared" si="46"/>
        <v>MD-No</v>
      </c>
      <c r="AB195" s="225" t="str">
        <f t="shared" si="38"/>
        <v>MD-Dem</v>
      </c>
      <c r="AC195" s="422" t="str">
        <f>C195&amp;"-"&amp;IF(Y195&gt;Instructions!$H$14,Instructions!$I$14,IF(Y195&gt;Instructions!$H$15,Instructions!$I$15,IF(Y195&gt;Instructions!$H$16,Instructions!$I$16,IF(Y195&gt;Instructions!$H$17,Instructions!$I$17,Instructions!$I$18))))</f>
        <v>MD-Landslide</v>
      </c>
      <c r="AD195" s="226">
        <f t="shared" si="39"/>
        <v>0</v>
      </c>
      <c r="AE195" s="226">
        <f t="shared" si="40"/>
        <v>87859</v>
      </c>
      <c r="AF195" s="227">
        <f t="shared" si="41"/>
        <v>516</v>
      </c>
      <c r="AG195" s="341">
        <f t="shared" si="42"/>
        <v>88375</v>
      </c>
      <c r="AH195" s="380"/>
    </row>
    <row r="196" spans="1:34">
      <c r="A196" s="352" t="s">
        <v>84</v>
      </c>
      <c r="B196" s="427">
        <v>1</v>
      </c>
      <c r="C196" s="220" t="s">
        <v>20</v>
      </c>
      <c r="D196" s="379" t="s">
        <v>544</v>
      </c>
      <c r="E196" s="379"/>
      <c r="F196" s="379"/>
      <c r="G196"/>
      <c r="H196"/>
      <c r="I196"/>
      <c r="J196" t="str">
        <f t="shared" si="31"/>
        <v>MA-Yes</v>
      </c>
      <c r="K196" t="str">
        <f t="shared" si="32"/>
        <v>MA-Yes</v>
      </c>
      <c r="L196" s="417"/>
      <c r="M196" s="417"/>
      <c r="N196" s="255">
        <v>1988</v>
      </c>
      <c r="O196" s="416">
        <v>167612</v>
      </c>
      <c r="P196" s="416"/>
      <c r="Q196" s="416">
        <v>0</v>
      </c>
      <c r="R196" s="416"/>
      <c r="S196" s="416">
        <v>3498</v>
      </c>
      <c r="T196" s="353">
        <f t="shared" si="33"/>
        <v>171110</v>
      </c>
      <c r="U196" s="396"/>
      <c r="V196" s="221">
        <f t="shared" si="34"/>
        <v>167612</v>
      </c>
      <c r="W196" s="388">
        <f t="shared" si="44"/>
        <v>3498</v>
      </c>
      <c r="X196" s="222">
        <f t="shared" si="35"/>
        <v>1</v>
      </c>
      <c r="Y196" s="421">
        <f t="shared" si="43"/>
        <v>0.95911402022091052</v>
      </c>
      <c r="Z196" s="223">
        <f t="shared" si="36"/>
        <v>0.97955701011045526</v>
      </c>
      <c r="AA196" s="224" t="str">
        <f t="shared" si="46"/>
        <v>MA-Yes</v>
      </c>
      <c r="AB196" s="225" t="str">
        <f t="shared" si="38"/>
        <v>MA-Dem</v>
      </c>
      <c r="AC196" s="422" t="str">
        <f>C196&amp;"-"&amp;IF(Y196&gt;Instructions!$H$14,Instructions!$I$14,IF(Y196&gt;Instructions!$H$15,Instructions!$I$15,IF(Y196&gt;Instructions!$H$16,Instructions!$I$16,IF(Y196&gt;Instructions!$H$17,Instructions!$I$17,Instructions!$I$18))))</f>
        <v>MA-No contest</v>
      </c>
      <c r="AD196" s="226">
        <f t="shared" si="39"/>
        <v>0</v>
      </c>
      <c r="AE196" s="226">
        <f t="shared" si="40"/>
        <v>0</v>
      </c>
      <c r="AF196" s="227">
        <f t="shared" si="41"/>
        <v>3498</v>
      </c>
      <c r="AG196" s="341">
        <f t="shared" si="42"/>
        <v>3498</v>
      </c>
      <c r="AH196" s="380"/>
    </row>
    <row r="197" spans="1:34">
      <c r="A197" s="352" t="s">
        <v>84</v>
      </c>
      <c r="B197" s="427">
        <v>2</v>
      </c>
      <c r="C197" s="220" t="s">
        <v>20</v>
      </c>
      <c r="D197" s="379" t="s">
        <v>545</v>
      </c>
      <c r="E197"/>
      <c r="F197" s="379"/>
      <c r="G197"/>
      <c r="H197" s="379"/>
      <c r="I197"/>
      <c r="J197" t="str">
        <f t="shared" si="31"/>
        <v>MA-Yes</v>
      </c>
      <c r="K197" t="str">
        <f t="shared" si="32"/>
        <v>MA-Yes</v>
      </c>
      <c r="L197" s="417"/>
      <c r="M197" s="417"/>
      <c r="N197" s="255">
        <v>1996</v>
      </c>
      <c r="O197" s="416">
        <v>169640</v>
      </c>
      <c r="P197" s="416"/>
      <c r="Q197" s="416">
        <v>0</v>
      </c>
      <c r="R197" s="416"/>
      <c r="S197" s="416">
        <v>3105</v>
      </c>
      <c r="T197" s="353">
        <f t="shared" si="33"/>
        <v>172745</v>
      </c>
      <c r="U197" s="228"/>
      <c r="V197" s="221">
        <f t="shared" si="34"/>
        <v>169640</v>
      </c>
      <c r="W197" s="388">
        <f t="shared" si="44"/>
        <v>3105</v>
      </c>
      <c r="X197" s="222">
        <f t="shared" si="35"/>
        <v>1</v>
      </c>
      <c r="Y197" s="421">
        <f t="shared" si="43"/>
        <v>0.96405105791773993</v>
      </c>
      <c r="Z197" s="223">
        <f t="shared" si="36"/>
        <v>0.98202552895886996</v>
      </c>
      <c r="AA197" s="224" t="str">
        <f t="shared" si="46"/>
        <v>MA-Yes</v>
      </c>
      <c r="AB197" s="225" t="str">
        <f t="shared" si="38"/>
        <v>MA-Dem</v>
      </c>
      <c r="AC197" s="422" t="str">
        <f>C197&amp;"-"&amp;IF(Y197&gt;Instructions!$H$14,Instructions!$I$14,IF(Y197&gt;Instructions!$H$15,Instructions!$I$15,IF(Y197&gt;Instructions!$H$16,Instructions!$I$16,IF(Y197&gt;Instructions!$H$17,Instructions!$I$17,Instructions!$I$18))))</f>
        <v>MA-No contest</v>
      </c>
      <c r="AD197" s="226">
        <f t="shared" si="39"/>
        <v>0</v>
      </c>
      <c r="AE197" s="226">
        <f t="shared" si="40"/>
        <v>0</v>
      </c>
      <c r="AF197" s="227">
        <f t="shared" si="41"/>
        <v>3105</v>
      </c>
      <c r="AG197" s="341">
        <f t="shared" si="42"/>
        <v>3105</v>
      </c>
      <c r="AH197" s="380"/>
    </row>
    <row r="198" spans="1:34">
      <c r="A198" s="352" t="s">
        <v>84</v>
      </c>
      <c r="B198" s="427">
        <v>3</v>
      </c>
      <c r="C198" s="220" t="s">
        <v>20</v>
      </c>
      <c r="D198" s="379" t="s">
        <v>546</v>
      </c>
      <c r="E198" t="s">
        <v>356</v>
      </c>
      <c r="F198" s="379"/>
      <c r="G198"/>
      <c r="H198" s="379"/>
      <c r="I198"/>
      <c r="J198" t="str">
        <f t="shared" si="31"/>
        <v>MA-Yes</v>
      </c>
      <c r="K198" t="str">
        <f t="shared" si="32"/>
        <v>MA-Yes</v>
      </c>
      <c r="L198" s="354"/>
      <c r="M198" s="354"/>
      <c r="N198" s="255">
        <v>2007</v>
      </c>
      <c r="O198" s="416">
        <v>139104</v>
      </c>
      <c r="P198" s="416"/>
      <c r="Q198" s="416">
        <v>81638</v>
      </c>
      <c r="R198" s="416"/>
      <c r="S198" s="416">
        <v>204</v>
      </c>
      <c r="T198" s="353">
        <f t="shared" si="33"/>
        <v>220946</v>
      </c>
      <c r="U198" s="228"/>
      <c r="V198" s="221">
        <f t="shared" si="34"/>
        <v>139104</v>
      </c>
      <c r="W198" s="388">
        <f t="shared" si="44"/>
        <v>81638</v>
      </c>
      <c r="X198" s="222">
        <f t="shared" si="35"/>
        <v>0.26033106522546684</v>
      </c>
      <c r="Y198" s="421">
        <f t="shared" si="43"/>
        <v>0.26009070089524139</v>
      </c>
      <c r="Z198" s="223">
        <f t="shared" si="36"/>
        <v>0.62958369918441615</v>
      </c>
      <c r="AA198" s="224" t="str">
        <f t="shared" si="46"/>
        <v>MA-No</v>
      </c>
      <c r="AB198" s="225" t="str">
        <f t="shared" si="38"/>
        <v>MA-Dem</v>
      </c>
      <c r="AC198" s="422" t="str">
        <f>C198&amp;"-"&amp;IF(Y198&gt;Instructions!$H$14,Instructions!$I$14,IF(Y198&gt;Instructions!$H$15,Instructions!$I$15,IF(Y198&gt;Instructions!$H$16,Instructions!$I$16,IF(Y198&gt;Instructions!$H$17,Instructions!$I$17,Instructions!$I$18))))</f>
        <v>MA-Landslide</v>
      </c>
      <c r="AD198" s="226">
        <f t="shared" si="39"/>
        <v>0</v>
      </c>
      <c r="AE198" s="226">
        <f t="shared" si="40"/>
        <v>81638</v>
      </c>
      <c r="AF198" s="227">
        <f t="shared" si="41"/>
        <v>204</v>
      </c>
      <c r="AG198" s="341">
        <f t="shared" si="42"/>
        <v>81842</v>
      </c>
    </row>
    <row r="199" spans="1:34">
      <c r="A199" s="352" t="s">
        <v>84</v>
      </c>
      <c r="B199" s="427">
        <v>4</v>
      </c>
      <c r="C199" s="220" t="s">
        <v>20</v>
      </c>
      <c r="D199" s="379" t="s">
        <v>547</v>
      </c>
      <c r="E199" s="381"/>
      <c r="F199"/>
      <c r="G199"/>
      <c r="H199"/>
      <c r="I199"/>
      <c r="J199" t="str">
        <f t="shared" ref="J199:J262" si="47">C199&amp;"-"&amp;IF(L199=1, "Yes", IF(L199="", "Yes", IF(L199=0, "No")))</f>
        <v>MA-Yes</v>
      </c>
      <c r="K199" t="str">
        <f t="shared" ref="K199:K262" si="48">C199&amp;"-"&amp;IF(L199=1, "No", IF(M199=1, "No", IF(L199="", "Yes", IF(L199=0, "No"))))</f>
        <v>MA-Yes</v>
      </c>
      <c r="L199" s="417"/>
      <c r="M199" s="417"/>
      <c r="N199" s="255">
        <v>2012</v>
      </c>
      <c r="O199" s="416">
        <v>184158</v>
      </c>
      <c r="P199" s="416"/>
      <c r="Q199" s="416">
        <v>0</v>
      </c>
      <c r="R199" s="416"/>
      <c r="S199" s="416">
        <v>3940</v>
      </c>
      <c r="T199" s="353">
        <f t="shared" ref="T199:T262" si="49">O199+Q199+P199+R199+S199</f>
        <v>188098</v>
      </c>
      <c r="U199" s="228"/>
      <c r="V199" s="221">
        <f t="shared" ref="V199:V262" si="50">MAX(O199:S199)</f>
        <v>184158</v>
      </c>
      <c r="W199" s="388">
        <f t="shared" si="44"/>
        <v>3940</v>
      </c>
      <c r="X199" s="222">
        <f t="shared" ref="X199:X262" si="51">ABS(O199-Q199)/(O199+Q199)</f>
        <v>1</v>
      </c>
      <c r="Y199" s="421">
        <f t="shared" si="43"/>
        <v>0.95810694425246412</v>
      </c>
      <c r="Z199" s="223">
        <f t="shared" ref="Z199:Z262" si="52">V199/T199</f>
        <v>0.97905347212623206</v>
      </c>
      <c r="AA199" s="224" t="str">
        <f t="shared" si="46"/>
        <v>MA-Yes</v>
      </c>
      <c r="AB199" s="225" t="str">
        <f t="shared" ref="AB199:AB262" si="53">C199&amp;"-"&amp;IF(S199=MAX(O199:S199),"Other",IF(Q199&gt;O199,"Rep","Dem"))</f>
        <v>MA-Dem</v>
      </c>
      <c r="AC199" s="422" t="str">
        <f>C199&amp;"-"&amp;IF(Y199&gt;Instructions!$H$14,Instructions!$I$14,IF(Y199&gt;Instructions!$H$15,Instructions!$I$15,IF(Y199&gt;Instructions!$H$16,Instructions!$I$16,IF(Y199&gt;Instructions!$H$17,Instructions!$I$17,Instructions!$I$18))))</f>
        <v>MA-No contest</v>
      </c>
      <c r="AD199" s="226">
        <f t="shared" ref="AD199:AD262" si="54">IF(V199=O199,0,O199)</f>
        <v>0</v>
      </c>
      <c r="AE199" s="226">
        <f t="shared" ref="AE199:AE262" si="55">IF(V199=Q199,0,Q199)</f>
        <v>0</v>
      </c>
      <c r="AF199" s="227">
        <f t="shared" ref="AF199:AF262" si="56">IF(V199=S199,0,S199)</f>
        <v>3940</v>
      </c>
      <c r="AG199" s="341">
        <f t="shared" ref="AG199:AG262" si="57">SUM(AD199:AF199)</f>
        <v>3940</v>
      </c>
      <c r="AH199" s="380"/>
    </row>
    <row r="200" spans="1:34">
      <c r="A200" s="352" t="s">
        <v>84</v>
      </c>
      <c r="B200" s="426">
        <v>5</v>
      </c>
      <c r="C200" s="220" t="s">
        <v>20</v>
      </c>
      <c r="D200" s="379" t="s">
        <v>790</v>
      </c>
      <c r="E200" t="s">
        <v>356</v>
      </c>
      <c r="F200"/>
      <c r="G200" s="379"/>
      <c r="H200"/>
      <c r="I200"/>
      <c r="J200" t="str">
        <f t="shared" si="47"/>
        <v>MA-Yes</v>
      </c>
      <c r="K200" t="str">
        <f t="shared" si="48"/>
        <v>MA-Yes</v>
      </c>
      <c r="L200" s="417"/>
      <c r="M200" s="417"/>
      <c r="N200" s="255">
        <v>1976</v>
      </c>
      <c r="O200" s="416">
        <v>182100</v>
      </c>
      <c r="P200" s="416"/>
      <c r="Q200" s="416">
        <v>0</v>
      </c>
      <c r="R200" s="416"/>
      <c r="S200" s="416">
        <v>3160</v>
      </c>
      <c r="T200" s="353">
        <f t="shared" si="49"/>
        <v>185260</v>
      </c>
      <c r="U200" s="396"/>
      <c r="V200" s="221">
        <f t="shared" si="50"/>
        <v>182100</v>
      </c>
      <c r="W200" s="388">
        <f t="shared" si="44"/>
        <v>3160</v>
      </c>
      <c r="X200" s="222">
        <f t="shared" si="51"/>
        <v>1</v>
      </c>
      <c r="Y200" s="421">
        <f t="shared" ref="Y200:Y263" si="58">(V200/T200)-(W200/T200)</f>
        <v>0.96588578214401388</v>
      </c>
      <c r="Z200" s="223">
        <f t="shared" si="52"/>
        <v>0.98294289107200694</v>
      </c>
      <c r="AA200" s="224" t="str">
        <f t="shared" si="46"/>
        <v>MA-Yes</v>
      </c>
      <c r="AB200" s="225" t="str">
        <f t="shared" si="53"/>
        <v>MA-Dem</v>
      </c>
      <c r="AC200" s="422" t="str">
        <f>C200&amp;"-"&amp;IF(Y200&gt;Instructions!$H$14,Instructions!$I$14,IF(Y200&gt;Instructions!$H$15,Instructions!$I$15,IF(Y200&gt;Instructions!$H$16,Instructions!$I$16,IF(Y200&gt;Instructions!$H$17,Instructions!$I$17,Instructions!$I$18))))</f>
        <v>MA-No contest</v>
      </c>
      <c r="AD200" s="226">
        <f t="shared" si="54"/>
        <v>0</v>
      </c>
      <c r="AE200" s="226">
        <f t="shared" si="55"/>
        <v>0</v>
      </c>
      <c r="AF200" s="227">
        <f t="shared" si="56"/>
        <v>3160</v>
      </c>
      <c r="AG200" s="341">
        <f t="shared" si="57"/>
        <v>3160</v>
      </c>
    </row>
    <row r="201" spans="1:34">
      <c r="A201" s="352" t="s">
        <v>84</v>
      </c>
      <c r="B201" s="427">
        <v>6</v>
      </c>
      <c r="C201" s="220" t="s">
        <v>20</v>
      </c>
      <c r="D201" s="379" t="s">
        <v>791</v>
      </c>
      <c r="E201" s="379"/>
      <c r="F201" s="379"/>
      <c r="G201" s="379"/>
      <c r="H201"/>
      <c r="I201"/>
      <c r="J201" t="str">
        <f t="shared" si="47"/>
        <v>MA-No</v>
      </c>
      <c r="K201" t="str">
        <f t="shared" si="48"/>
        <v>MA-No</v>
      </c>
      <c r="L201" s="415">
        <v>0</v>
      </c>
      <c r="M201" s="354"/>
      <c r="N201" s="255">
        <v>2014</v>
      </c>
      <c r="O201" s="416">
        <v>149638</v>
      </c>
      <c r="P201" s="416"/>
      <c r="Q201" s="416">
        <v>111989</v>
      </c>
      <c r="R201" s="416"/>
      <c r="S201" s="416">
        <v>10592</v>
      </c>
      <c r="T201" s="353">
        <f t="shared" si="49"/>
        <v>272219</v>
      </c>
      <c r="U201" s="228"/>
      <c r="V201" s="221">
        <f t="shared" si="50"/>
        <v>149638</v>
      </c>
      <c r="W201" s="388">
        <f t="shared" si="44"/>
        <v>111989</v>
      </c>
      <c r="X201" s="222">
        <f t="shared" si="51"/>
        <v>0.14390334330936791</v>
      </c>
      <c r="Y201" s="421">
        <f t="shared" si="58"/>
        <v>0.13830408604836553</v>
      </c>
      <c r="Z201" s="223">
        <f t="shared" si="52"/>
        <v>0.54969711886385597</v>
      </c>
      <c r="AA201" s="224" t="str">
        <f t="shared" si="46"/>
        <v>MA-No</v>
      </c>
      <c r="AB201" s="225" t="str">
        <f t="shared" si="53"/>
        <v>MA-Dem</v>
      </c>
      <c r="AC201" s="422" t="str">
        <f>C201&amp;"-"&amp;IF(Y201&gt;Instructions!$H$14,Instructions!$I$14,IF(Y201&gt;Instructions!$H$15,Instructions!$I$15,IF(Y201&gt;Instructions!$H$16,Instructions!$I$16,IF(Y201&gt;Instructions!$H$17,Instructions!$I$17,Instructions!$I$18))))</f>
        <v>MA-Opportunity</v>
      </c>
      <c r="AD201" s="226">
        <f t="shared" si="54"/>
        <v>0</v>
      </c>
      <c r="AE201" s="226">
        <f t="shared" si="55"/>
        <v>111989</v>
      </c>
      <c r="AF201" s="227">
        <f t="shared" si="56"/>
        <v>10592</v>
      </c>
      <c r="AG201" s="341">
        <f t="shared" si="57"/>
        <v>122581</v>
      </c>
    </row>
    <row r="202" spans="1:34">
      <c r="A202" s="352" t="s">
        <v>84</v>
      </c>
      <c r="B202" s="427">
        <v>7</v>
      </c>
      <c r="C202" s="220" t="s">
        <v>20</v>
      </c>
      <c r="D202" s="379" t="s">
        <v>548</v>
      </c>
      <c r="E202" s="379"/>
      <c r="F202" s="379"/>
      <c r="G202"/>
      <c r="H202"/>
      <c r="I202"/>
      <c r="J202" t="str">
        <f t="shared" si="47"/>
        <v>MA-Yes</v>
      </c>
      <c r="K202" t="str">
        <f t="shared" si="48"/>
        <v>MA-Yes</v>
      </c>
      <c r="L202" s="354"/>
      <c r="M202" s="354"/>
      <c r="N202" s="255">
        <v>1999</v>
      </c>
      <c r="O202" s="416">
        <v>142133</v>
      </c>
      <c r="P202" s="416"/>
      <c r="Q202" s="416">
        <v>0</v>
      </c>
      <c r="R202" s="416"/>
      <c r="S202" s="416">
        <v>2413</v>
      </c>
      <c r="T202" s="353">
        <f t="shared" si="49"/>
        <v>144546</v>
      </c>
      <c r="U202" s="228"/>
      <c r="V202" s="221">
        <f t="shared" si="50"/>
        <v>142133</v>
      </c>
      <c r="W202" s="388">
        <f t="shared" si="44"/>
        <v>2413</v>
      </c>
      <c r="X202" s="222">
        <f t="shared" si="51"/>
        <v>1</v>
      </c>
      <c r="Y202" s="421">
        <f t="shared" si="58"/>
        <v>0.96661270460614612</v>
      </c>
      <c r="Z202" s="223">
        <f t="shared" si="52"/>
        <v>0.98330635230307306</v>
      </c>
      <c r="AA202" s="224" t="str">
        <f t="shared" si="46"/>
        <v>MA-Yes</v>
      </c>
      <c r="AB202" s="225" t="str">
        <f t="shared" si="53"/>
        <v>MA-Dem</v>
      </c>
      <c r="AC202" s="422" t="str">
        <f>C202&amp;"-"&amp;IF(Y202&gt;Instructions!$H$14,Instructions!$I$14,IF(Y202&gt;Instructions!$H$15,Instructions!$I$15,IF(Y202&gt;Instructions!$H$16,Instructions!$I$16,IF(Y202&gt;Instructions!$H$17,Instructions!$I$17,Instructions!$I$18))))</f>
        <v>MA-No contest</v>
      </c>
      <c r="AD202" s="226">
        <f t="shared" si="54"/>
        <v>0</v>
      </c>
      <c r="AE202" s="226">
        <f t="shared" si="55"/>
        <v>0</v>
      </c>
      <c r="AF202" s="227">
        <f t="shared" si="56"/>
        <v>2413</v>
      </c>
      <c r="AG202" s="341">
        <f t="shared" si="57"/>
        <v>2413</v>
      </c>
    </row>
    <row r="203" spans="1:34">
      <c r="A203" s="352" t="s">
        <v>84</v>
      </c>
      <c r="B203" s="427">
        <v>8</v>
      </c>
      <c r="C203" s="220" t="s">
        <v>20</v>
      </c>
      <c r="D203" s="379" t="s">
        <v>549</v>
      </c>
      <c r="E203" s="379"/>
      <c r="F203" s="379"/>
      <c r="G203"/>
      <c r="H203"/>
      <c r="I203"/>
      <c r="J203" t="str">
        <f t="shared" si="47"/>
        <v>MA-Yes</v>
      </c>
      <c r="K203" t="str">
        <f t="shared" si="48"/>
        <v>MA-Yes</v>
      </c>
      <c r="L203" s="417"/>
      <c r="M203" s="417"/>
      <c r="N203" s="255">
        <v>2001</v>
      </c>
      <c r="O203" s="416">
        <v>200644</v>
      </c>
      <c r="P203" s="416"/>
      <c r="Q203" s="416">
        <v>0</v>
      </c>
      <c r="R203" s="416"/>
      <c r="S203" s="416">
        <v>2707</v>
      </c>
      <c r="T203" s="353">
        <f t="shared" si="49"/>
        <v>203351</v>
      </c>
      <c r="U203" s="228"/>
      <c r="V203" s="221">
        <f t="shared" si="50"/>
        <v>200644</v>
      </c>
      <c r="W203" s="388">
        <f t="shared" si="44"/>
        <v>2707</v>
      </c>
      <c r="X203" s="222">
        <f t="shared" si="51"/>
        <v>1</v>
      </c>
      <c r="Y203" s="421">
        <f t="shared" si="58"/>
        <v>0.97337608371731643</v>
      </c>
      <c r="Z203" s="223">
        <f t="shared" si="52"/>
        <v>0.98668804185865822</v>
      </c>
      <c r="AA203" s="224" t="str">
        <f t="shared" si="46"/>
        <v>MA-Yes</v>
      </c>
      <c r="AB203" s="225" t="str">
        <f t="shared" si="53"/>
        <v>MA-Dem</v>
      </c>
      <c r="AC203" s="422" t="str">
        <f>C203&amp;"-"&amp;IF(Y203&gt;Instructions!$H$14,Instructions!$I$14,IF(Y203&gt;Instructions!$H$15,Instructions!$I$15,IF(Y203&gt;Instructions!$H$16,Instructions!$I$16,IF(Y203&gt;Instructions!$H$17,Instructions!$I$17,Instructions!$I$18))))</f>
        <v>MA-No contest</v>
      </c>
      <c r="AD203" s="226">
        <f t="shared" si="54"/>
        <v>0</v>
      </c>
      <c r="AE203" s="226">
        <f t="shared" si="55"/>
        <v>0</v>
      </c>
      <c r="AF203" s="227">
        <f t="shared" si="56"/>
        <v>2707</v>
      </c>
      <c r="AG203" s="341">
        <f t="shared" si="57"/>
        <v>2707</v>
      </c>
    </row>
    <row r="204" spans="1:34">
      <c r="A204" s="352" t="s">
        <v>84</v>
      </c>
      <c r="B204" s="427">
        <v>9</v>
      </c>
      <c r="C204" s="220" t="s">
        <v>20</v>
      </c>
      <c r="D204" s="379" t="s">
        <v>550</v>
      </c>
      <c r="E204"/>
      <c r="F204"/>
      <c r="G204"/>
      <c r="H204"/>
      <c r="I204"/>
      <c r="J204" t="str">
        <f t="shared" si="47"/>
        <v>MA-Yes</v>
      </c>
      <c r="K204" t="str">
        <f t="shared" si="48"/>
        <v>MA-Yes</v>
      </c>
      <c r="L204" s="417"/>
      <c r="M204" s="417"/>
      <c r="N204" s="255">
        <v>2010</v>
      </c>
      <c r="O204" s="416">
        <v>140413</v>
      </c>
      <c r="P204" s="416"/>
      <c r="Q204" s="416">
        <v>114971</v>
      </c>
      <c r="R204" s="416"/>
      <c r="S204" s="416">
        <v>157</v>
      </c>
      <c r="T204" s="353">
        <f t="shared" si="49"/>
        <v>255541</v>
      </c>
      <c r="U204" s="396"/>
      <c r="V204" s="221">
        <f t="shared" si="50"/>
        <v>140413</v>
      </c>
      <c r="W204" s="388">
        <f t="shared" si="44"/>
        <v>114971</v>
      </c>
      <c r="X204" s="222">
        <f t="shared" si="51"/>
        <v>9.962252921091376E-2</v>
      </c>
      <c r="Y204" s="421">
        <f t="shared" si="58"/>
        <v>9.956132284056185E-2</v>
      </c>
      <c r="Z204" s="223">
        <f t="shared" si="52"/>
        <v>0.54947347001068325</v>
      </c>
      <c r="AA204" s="224" t="str">
        <f t="shared" si="46"/>
        <v>MA-No</v>
      </c>
      <c r="AB204" s="225" t="str">
        <f t="shared" si="53"/>
        <v>MA-Dem</v>
      </c>
      <c r="AC204" s="422" t="str">
        <f>C204&amp;"-"&amp;IF(Y204&gt;Instructions!$H$14,Instructions!$I$14,IF(Y204&gt;Instructions!$H$15,Instructions!$I$15,IF(Y204&gt;Instructions!$H$16,Instructions!$I$16,IF(Y204&gt;Instructions!$H$17,Instructions!$I$17,Instructions!$I$18))))</f>
        <v>MA-Competitive</v>
      </c>
      <c r="AD204" s="226">
        <f t="shared" si="54"/>
        <v>0</v>
      </c>
      <c r="AE204" s="226">
        <f t="shared" si="55"/>
        <v>114971</v>
      </c>
      <c r="AF204" s="227">
        <f t="shared" si="56"/>
        <v>157</v>
      </c>
      <c r="AG204" s="341">
        <f t="shared" si="57"/>
        <v>115128</v>
      </c>
      <c r="AH204" s="413">
        <f>SUM(AG195:AG204)</f>
        <v>426749</v>
      </c>
    </row>
    <row r="205" spans="1:34">
      <c r="A205" s="352" t="s">
        <v>85</v>
      </c>
      <c r="B205" s="427">
        <v>1</v>
      </c>
      <c r="C205" s="220" t="s">
        <v>21</v>
      </c>
      <c r="D205" s="379" t="s">
        <v>551</v>
      </c>
      <c r="E205"/>
      <c r="F205" s="379"/>
      <c r="G205"/>
      <c r="H205"/>
      <c r="I205"/>
      <c r="J205" t="str">
        <f t="shared" si="47"/>
        <v>MI-Yes</v>
      </c>
      <c r="K205" t="str">
        <f t="shared" si="48"/>
        <v>MI-Yes</v>
      </c>
      <c r="L205" s="417"/>
      <c r="M205" s="417"/>
      <c r="N205" s="255">
        <v>2010</v>
      </c>
      <c r="O205" s="416">
        <v>113263</v>
      </c>
      <c r="P205" s="416"/>
      <c r="Q205" s="416">
        <v>130414</v>
      </c>
      <c r="R205" s="416"/>
      <c r="S205" s="416">
        <v>6454</v>
      </c>
      <c r="T205" s="353">
        <f t="shared" si="49"/>
        <v>250131</v>
      </c>
      <c r="U205" s="228"/>
      <c r="V205" s="221">
        <f t="shared" si="50"/>
        <v>130414</v>
      </c>
      <c r="W205" s="388">
        <f t="shared" si="44"/>
        <v>113263</v>
      </c>
      <c r="X205" s="222">
        <f t="shared" si="51"/>
        <v>7.0384156075460544E-2</v>
      </c>
      <c r="Y205" s="421">
        <f t="shared" si="58"/>
        <v>6.8568070331146425E-2</v>
      </c>
      <c r="Z205" s="223">
        <f t="shared" si="52"/>
        <v>0.52138279541520238</v>
      </c>
      <c r="AA205" s="224" t="str">
        <f t="shared" si="46"/>
        <v>MI-No</v>
      </c>
      <c r="AB205" s="225" t="str">
        <f t="shared" si="53"/>
        <v>MI-Rep</v>
      </c>
      <c r="AC205" s="422" t="str">
        <f>C205&amp;"-"&amp;IF(Y205&gt;Instructions!$H$14,Instructions!$I$14,IF(Y205&gt;Instructions!$H$15,Instructions!$I$15,IF(Y205&gt;Instructions!$H$16,Instructions!$I$16,IF(Y205&gt;Instructions!$H$17,Instructions!$I$17,Instructions!$I$18))))</f>
        <v>MI-Competitive</v>
      </c>
      <c r="AD205" s="226">
        <f t="shared" si="54"/>
        <v>113263</v>
      </c>
      <c r="AE205" s="226">
        <f t="shared" si="55"/>
        <v>0</v>
      </c>
      <c r="AF205" s="227">
        <f t="shared" si="56"/>
        <v>6454</v>
      </c>
      <c r="AG205" s="341">
        <f t="shared" si="57"/>
        <v>119717</v>
      </c>
    </row>
    <row r="206" spans="1:34">
      <c r="A206" s="352" t="s">
        <v>85</v>
      </c>
      <c r="B206" s="427">
        <v>2</v>
      </c>
      <c r="C206" s="220" t="s">
        <v>21</v>
      </c>
      <c r="D206" s="379" t="s">
        <v>552</v>
      </c>
      <c r="E206"/>
      <c r="F206" s="379"/>
      <c r="G206"/>
      <c r="H206"/>
      <c r="I206"/>
      <c r="J206" t="str">
        <f t="shared" si="47"/>
        <v>MI-Yes</v>
      </c>
      <c r="K206" t="str">
        <f t="shared" si="48"/>
        <v>MI-Yes</v>
      </c>
      <c r="L206" s="415"/>
      <c r="M206" s="415"/>
      <c r="N206" s="255">
        <v>2010</v>
      </c>
      <c r="O206" s="416">
        <v>70851</v>
      </c>
      <c r="P206" s="416"/>
      <c r="Q206" s="416">
        <v>135568</v>
      </c>
      <c r="R206" s="416"/>
      <c r="S206" s="416">
        <v>6653</v>
      </c>
      <c r="T206" s="353">
        <f t="shared" si="49"/>
        <v>213072</v>
      </c>
      <c r="U206" s="228"/>
      <c r="V206" s="221">
        <f t="shared" si="50"/>
        <v>135568</v>
      </c>
      <c r="W206" s="388">
        <f t="shared" si="44"/>
        <v>70851</v>
      </c>
      <c r="X206" s="222">
        <f t="shared" si="51"/>
        <v>0.31352249550671207</v>
      </c>
      <c r="Y206" s="421">
        <f t="shared" si="58"/>
        <v>0.30373301043778633</v>
      </c>
      <c r="Z206" s="223">
        <f t="shared" si="52"/>
        <v>0.63625441165427654</v>
      </c>
      <c r="AA206" s="224" t="str">
        <f t="shared" si="46"/>
        <v>MI-No</v>
      </c>
      <c r="AB206" s="225" t="str">
        <f t="shared" si="53"/>
        <v>MI-Rep</v>
      </c>
      <c r="AC206" s="422" t="str">
        <f>C206&amp;"-"&amp;IF(Y206&gt;Instructions!$H$14,Instructions!$I$14,IF(Y206&gt;Instructions!$H$15,Instructions!$I$15,IF(Y206&gt;Instructions!$H$16,Instructions!$I$16,IF(Y206&gt;Instructions!$H$17,Instructions!$I$17,Instructions!$I$18))))</f>
        <v>MI-Landslide</v>
      </c>
      <c r="AD206" s="226">
        <f t="shared" si="54"/>
        <v>70851</v>
      </c>
      <c r="AE206" s="226">
        <f t="shared" si="55"/>
        <v>0</v>
      </c>
      <c r="AF206" s="227">
        <f t="shared" si="56"/>
        <v>6653</v>
      </c>
      <c r="AG206" s="341">
        <f t="shared" si="57"/>
        <v>77504</v>
      </c>
      <c r="AH206" s="380"/>
    </row>
    <row r="207" spans="1:34">
      <c r="A207" s="352" t="s">
        <v>85</v>
      </c>
      <c r="B207" s="427">
        <v>3</v>
      </c>
      <c r="C207" s="220" t="s">
        <v>21</v>
      </c>
      <c r="D207" s="379" t="s">
        <v>553</v>
      </c>
      <c r="E207"/>
      <c r="F207" s="379"/>
      <c r="G207"/>
      <c r="H207"/>
      <c r="I207"/>
      <c r="J207" t="str">
        <f t="shared" si="47"/>
        <v>MI-Yes</v>
      </c>
      <c r="K207" t="str">
        <f t="shared" si="48"/>
        <v>MI-Yes</v>
      </c>
      <c r="L207" s="415"/>
      <c r="M207" s="415"/>
      <c r="N207" s="255">
        <v>2010</v>
      </c>
      <c r="O207" s="416">
        <v>84720</v>
      </c>
      <c r="P207" s="416"/>
      <c r="Q207" s="416">
        <v>125754</v>
      </c>
      <c r="R207" s="416"/>
      <c r="S207" s="416">
        <v>6691</v>
      </c>
      <c r="T207" s="353">
        <f t="shared" si="49"/>
        <v>217165</v>
      </c>
      <c r="U207" s="228"/>
      <c r="V207" s="221">
        <f t="shared" si="50"/>
        <v>125754</v>
      </c>
      <c r="W207" s="388">
        <f t="shared" si="44"/>
        <v>84720</v>
      </c>
      <c r="X207" s="222">
        <f t="shared" si="51"/>
        <v>0.19495994754696541</v>
      </c>
      <c r="Y207" s="421">
        <f t="shared" si="58"/>
        <v>0.18895310017728456</v>
      </c>
      <c r="Z207" s="223">
        <f t="shared" si="52"/>
        <v>0.57907121313287135</v>
      </c>
      <c r="AA207" s="224" t="str">
        <f t="shared" si="46"/>
        <v>MI-No</v>
      </c>
      <c r="AB207" s="225" t="str">
        <f t="shared" si="53"/>
        <v>MI-Rep</v>
      </c>
      <c r="AC207" s="422" t="str">
        <f>C207&amp;"-"&amp;IF(Y207&gt;Instructions!$H$14,Instructions!$I$14,IF(Y207&gt;Instructions!$H$15,Instructions!$I$15,IF(Y207&gt;Instructions!$H$16,Instructions!$I$16,IF(Y207&gt;Instructions!$H$17,Instructions!$I$17,Instructions!$I$18))))</f>
        <v>MI-Opportunity</v>
      </c>
      <c r="AD207" s="226">
        <f t="shared" si="54"/>
        <v>84720</v>
      </c>
      <c r="AE207" s="226">
        <f t="shared" si="55"/>
        <v>0</v>
      </c>
      <c r="AF207" s="227">
        <f t="shared" si="56"/>
        <v>6691</v>
      </c>
      <c r="AG207" s="341">
        <f t="shared" si="57"/>
        <v>91411</v>
      </c>
      <c r="AH207" s="380"/>
    </row>
    <row r="208" spans="1:34">
      <c r="A208" s="352" t="s">
        <v>85</v>
      </c>
      <c r="B208" s="427">
        <v>4</v>
      </c>
      <c r="C208" s="220" t="s">
        <v>21</v>
      </c>
      <c r="D208" s="379" t="s">
        <v>792</v>
      </c>
      <c r="E208" s="379"/>
      <c r="F208"/>
      <c r="G208"/>
      <c r="H208" s="379"/>
      <c r="I208"/>
      <c r="J208" t="str">
        <f t="shared" si="47"/>
        <v>MI-No</v>
      </c>
      <c r="K208" t="str">
        <f t="shared" si="48"/>
        <v>MI-No</v>
      </c>
      <c r="L208" s="415">
        <v>0</v>
      </c>
      <c r="M208" s="415"/>
      <c r="N208" s="255">
        <v>2014</v>
      </c>
      <c r="O208" s="416">
        <v>85777</v>
      </c>
      <c r="P208" s="416"/>
      <c r="Q208" s="416">
        <v>123962</v>
      </c>
      <c r="R208" s="416"/>
      <c r="S208" s="416">
        <v>9684</v>
      </c>
      <c r="T208" s="353">
        <f t="shared" si="49"/>
        <v>219423</v>
      </c>
      <c r="U208" s="396"/>
      <c r="V208" s="221">
        <f t="shared" si="50"/>
        <v>123962</v>
      </c>
      <c r="W208" s="388">
        <f t="shared" si="44"/>
        <v>85777</v>
      </c>
      <c r="X208" s="222">
        <f t="shared" si="51"/>
        <v>0.1820596074168371</v>
      </c>
      <c r="Y208" s="421">
        <f t="shared" si="58"/>
        <v>0.17402460088504845</v>
      </c>
      <c r="Z208" s="223">
        <f t="shared" si="52"/>
        <v>0.56494533389845181</v>
      </c>
      <c r="AA208" s="224" t="str">
        <f t="shared" si="46"/>
        <v>MI-No</v>
      </c>
      <c r="AB208" s="225" t="str">
        <f t="shared" si="53"/>
        <v>MI-Rep</v>
      </c>
      <c r="AC208" s="422" t="str">
        <f>C208&amp;"-"&amp;IF(Y208&gt;Instructions!$H$14,Instructions!$I$14,IF(Y208&gt;Instructions!$H$15,Instructions!$I$15,IF(Y208&gt;Instructions!$H$16,Instructions!$I$16,IF(Y208&gt;Instructions!$H$17,Instructions!$I$17,Instructions!$I$18))))</f>
        <v>MI-Opportunity</v>
      </c>
      <c r="AD208" s="226">
        <f t="shared" si="54"/>
        <v>85777</v>
      </c>
      <c r="AE208" s="226">
        <f t="shared" si="55"/>
        <v>0</v>
      </c>
      <c r="AF208" s="227">
        <f t="shared" si="56"/>
        <v>9684</v>
      </c>
      <c r="AG208" s="341">
        <f t="shared" si="57"/>
        <v>95461</v>
      </c>
      <c r="AH208" s="380"/>
    </row>
    <row r="209" spans="1:34">
      <c r="A209" s="352" t="s">
        <v>85</v>
      </c>
      <c r="B209" s="427">
        <v>5</v>
      </c>
      <c r="C209" s="220" t="s">
        <v>21</v>
      </c>
      <c r="D209" s="379" t="s">
        <v>554</v>
      </c>
      <c r="E209" s="379"/>
      <c r="F209" s="379"/>
      <c r="G209"/>
      <c r="H209"/>
      <c r="I209"/>
      <c r="J209" t="str">
        <f t="shared" si="47"/>
        <v>MI-Yes</v>
      </c>
      <c r="K209" t="str">
        <f t="shared" si="48"/>
        <v>MI-Yes</v>
      </c>
      <c r="L209" s="417"/>
      <c r="M209" s="417"/>
      <c r="N209" s="255">
        <v>2012</v>
      </c>
      <c r="O209" s="416">
        <v>148182</v>
      </c>
      <c r="P209" s="416"/>
      <c r="Q209" s="416">
        <v>69222</v>
      </c>
      <c r="R209" s="416"/>
      <c r="S209" s="416">
        <v>4734</v>
      </c>
      <c r="T209" s="353">
        <f t="shared" si="49"/>
        <v>222138</v>
      </c>
      <c r="U209" s="396"/>
      <c r="V209" s="221">
        <f t="shared" si="50"/>
        <v>148182</v>
      </c>
      <c r="W209" s="388">
        <f t="shared" si="44"/>
        <v>69222</v>
      </c>
      <c r="X209" s="222">
        <f t="shared" si="51"/>
        <v>0.36319478942429761</v>
      </c>
      <c r="Y209" s="421">
        <f t="shared" si="58"/>
        <v>0.35545471733787104</v>
      </c>
      <c r="Z209" s="223">
        <f t="shared" si="52"/>
        <v>0.66707182021986333</v>
      </c>
      <c r="AA209" s="224" t="str">
        <f t="shared" si="46"/>
        <v>MI-No</v>
      </c>
      <c r="AB209" s="225" t="str">
        <f t="shared" si="53"/>
        <v>MI-Dem</v>
      </c>
      <c r="AC209" s="422" t="str">
        <f>C209&amp;"-"&amp;IF(Y209&gt;Instructions!$H$14,Instructions!$I$14,IF(Y209&gt;Instructions!$H$15,Instructions!$I$15,IF(Y209&gt;Instructions!$H$16,Instructions!$I$16,IF(Y209&gt;Instructions!$H$17,Instructions!$I$17,Instructions!$I$18))))</f>
        <v>MI-Landslide</v>
      </c>
      <c r="AD209" s="226">
        <f t="shared" si="54"/>
        <v>0</v>
      </c>
      <c r="AE209" s="226">
        <f t="shared" si="55"/>
        <v>69222</v>
      </c>
      <c r="AF209" s="227">
        <f t="shared" si="56"/>
        <v>4734</v>
      </c>
      <c r="AG209" s="341">
        <f t="shared" si="57"/>
        <v>73956</v>
      </c>
    </row>
    <row r="210" spans="1:34">
      <c r="A210" s="352" t="s">
        <v>85</v>
      </c>
      <c r="B210" s="427">
        <v>6</v>
      </c>
      <c r="C210" s="220" t="s">
        <v>21</v>
      </c>
      <c r="D210" s="379" t="s">
        <v>555</v>
      </c>
      <c r="E210" s="379"/>
      <c r="F210"/>
      <c r="G210"/>
      <c r="H210"/>
      <c r="I210"/>
      <c r="J210" t="str">
        <f t="shared" si="47"/>
        <v>MI-Yes</v>
      </c>
      <c r="K210" t="str">
        <f t="shared" si="48"/>
        <v>MI-Yes</v>
      </c>
      <c r="L210" s="415"/>
      <c r="M210" s="415"/>
      <c r="N210" s="255">
        <v>1986</v>
      </c>
      <c r="O210" s="416">
        <v>84391</v>
      </c>
      <c r="P210" s="416"/>
      <c r="Q210" s="416">
        <v>116801</v>
      </c>
      <c r="R210" s="416"/>
      <c r="S210" s="416">
        <v>7784</v>
      </c>
      <c r="T210" s="353">
        <f t="shared" si="49"/>
        <v>208976</v>
      </c>
      <c r="U210" s="228"/>
      <c r="V210" s="221">
        <f t="shared" si="50"/>
        <v>116801</v>
      </c>
      <c r="W210" s="388">
        <f t="shared" si="44"/>
        <v>84391</v>
      </c>
      <c r="X210" s="222">
        <f t="shared" si="51"/>
        <v>0.16108990417114</v>
      </c>
      <c r="Y210" s="421">
        <f t="shared" si="58"/>
        <v>0.15508957966465053</v>
      </c>
      <c r="Z210" s="223">
        <f t="shared" si="52"/>
        <v>0.55892064160477761</v>
      </c>
      <c r="AA210" s="224" t="str">
        <f t="shared" si="46"/>
        <v>MI-No</v>
      </c>
      <c r="AB210" s="225" t="str">
        <f t="shared" si="53"/>
        <v>MI-Rep</v>
      </c>
      <c r="AC210" s="422" t="str">
        <f>C210&amp;"-"&amp;IF(Y210&gt;Instructions!$H$14,Instructions!$I$14,IF(Y210&gt;Instructions!$H$15,Instructions!$I$15,IF(Y210&gt;Instructions!$H$16,Instructions!$I$16,IF(Y210&gt;Instructions!$H$17,Instructions!$I$17,Instructions!$I$18))))</f>
        <v>MI-Opportunity</v>
      </c>
      <c r="AD210" s="226">
        <f t="shared" si="54"/>
        <v>84391</v>
      </c>
      <c r="AE210" s="226">
        <f t="shared" si="55"/>
        <v>0</v>
      </c>
      <c r="AF210" s="227">
        <f t="shared" si="56"/>
        <v>7784</v>
      </c>
      <c r="AG210" s="341">
        <f t="shared" si="57"/>
        <v>92175</v>
      </c>
    </row>
    <row r="211" spans="1:34">
      <c r="A211" s="352" t="s">
        <v>85</v>
      </c>
      <c r="B211" s="427">
        <v>7</v>
      </c>
      <c r="C211" s="220" t="s">
        <v>21</v>
      </c>
      <c r="D211" s="379" t="s">
        <v>556</v>
      </c>
      <c r="E211"/>
      <c r="F211"/>
      <c r="G211"/>
      <c r="H211"/>
      <c r="I211"/>
      <c r="J211" t="str">
        <f t="shared" si="47"/>
        <v>MI-Yes</v>
      </c>
      <c r="K211" t="str">
        <f t="shared" si="48"/>
        <v>MI-Yes</v>
      </c>
      <c r="L211" s="415"/>
      <c r="M211" s="415"/>
      <c r="N211" s="255">
        <v>2010</v>
      </c>
      <c r="O211" s="416">
        <v>92083</v>
      </c>
      <c r="P211" s="416"/>
      <c r="Q211" s="416">
        <v>119564</v>
      </c>
      <c r="R211" s="416"/>
      <c r="S211" s="416">
        <v>12038</v>
      </c>
      <c r="T211" s="353">
        <f t="shared" si="49"/>
        <v>223685</v>
      </c>
      <c r="U211" s="228"/>
      <c r="V211" s="221">
        <f t="shared" si="50"/>
        <v>119564</v>
      </c>
      <c r="W211" s="388">
        <f t="shared" si="44"/>
        <v>92083</v>
      </c>
      <c r="X211" s="222">
        <f t="shared" si="51"/>
        <v>0.12984356026780441</v>
      </c>
      <c r="Y211" s="421">
        <f t="shared" si="58"/>
        <v>0.12285580168540577</v>
      </c>
      <c r="Z211" s="223">
        <f t="shared" si="52"/>
        <v>0.53451952522520507</v>
      </c>
      <c r="AA211" s="224" t="str">
        <f t="shared" si="46"/>
        <v>MI-No</v>
      </c>
      <c r="AB211" s="225" t="str">
        <f t="shared" si="53"/>
        <v>MI-Rep</v>
      </c>
      <c r="AC211" s="422" t="str">
        <f>C211&amp;"-"&amp;IF(Y211&gt;Instructions!$H$14,Instructions!$I$14,IF(Y211&gt;Instructions!$H$15,Instructions!$I$15,IF(Y211&gt;Instructions!$H$16,Instructions!$I$16,IF(Y211&gt;Instructions!$H$17,Instructions!$I$17,Instructions!$I$18))))</f>
        <v>MI-Opportunity</v>
      </c>
      <c r="AD211" s="226">
        <f t="shared" si="54"/>
        <v>92083</v>
      </c>
      <c r="AE211" s="226">
        <f t="shared" si="55"/>
        <v>0</v>
      </c>
      <c r="AF211" s="227">
        <f t="shared" si="56"/>
        <v>12038</v>
      </c>
      <c r="AG211" s="341">
        <f t="shared" si="57"/>
        <v>104121</v>
      </c>
    </row>
    <row r="212" spans="1:34">
      <c r="A212" s="352" t="s">
        <v>85</v>
      </c>
      <c r="B212" s="427">
        <v>8</v>
      </c>
      <c r="C212" s="220" t="s">
        <v>21</v>
      </c>
      <c r="D212" s="379" t="s">
        <v>793</v>
      </c>
      <c r="E212"/>
      <c r="F212"/>
      <c r="G212"/>
      <c r="H212"/>
      <c r="I212"/>
      <c r="J212" t="str">
        <f t="shared" si="47"/>
        <v>MI-No</v>
      </c>
      <c r="K212" t="str">
        <f t="shared" si="48"/>
        <v>MI-No</v>
      </c>
      <c r="L212" s="415">
        <v>0</v>
      </c>
      <c r="M212" s="415"/>
      <c r="N212" s="255">
        <v>2014</v>
      </c>
      <c r="O212" s="416">
        <v>102269</v>
      </c>
      <c r="P212" s="416"/>
      <c r="Q212" s="416">
        <v>132739</v>
      </c>
      <c r="R212" s="416"/>
      <c r="S212" s="416">
        <v>8117</v>
      </c>
      <c r="T212" s="353">
        <f t="shared" si="49"/>
        <v>243125</v>
      </c>
      <c r="U212" s="228"/>
      <c r="V212" s="221">
        <f t="shared" si="50"/>
        <v>132739</v>
      </c>
      <c r="W212" s="388">
        <f t="shared" si="44"/>
        <v>102269</v>
      </c>
      <c r="X212" s="222">
        <f t="shared" si="51"/>
        <v>0.12965516067538127</v>
      </c>
      <c r="Y212" s="421">
        <f t="shared" si="58"/>
        <v>0.12532647814910025</v>
      </c>
      <c r="Z212" s="223">
        <f t="shared" si="52"/>
        <v>0.5459701799485861</v>
      </c>
      <c r="AA212" s="224" t="str">
        <f t="shared" si="46"/>
        <v>MI-No</v>
      </c>
      <c r="AB212" s="225" t="str">
        <f t="shared" si="53"/>
        <v>MI-Rep</v>
      </c>
      <c r="AC212" s="422" t="str">
        <f>C212&amp;"-"&amp;IF(Y212&gt;Instructions!$H$14,Instructions!$I$14,IF(Y212&gt;Instructions!$H$15,Instructions!$I$15,IF(Y212&gt;Instructions!$H$16,Instructions!$I$16,IF(Y212&gt;Instructions!$H$17,Instructions!$I$17,Instructions!$I$18))))</f>
        <v>MI-Opportunity</v>
      </c>
      <c r="AD212" s="226">
        <f t="shared" si="54"/>
        <v>102269</v>
      </c>
      <c r="AE212" s="226">
        <f t="shared" si="55"/>
        <v>0</v>
      </c>
      <c r="AF212" s="227">
        <f t="shared" si="56"/>
        <v>8117</v>
      </c>
      <c r="AG212" s="341">
        <f t="shared" si="57"/>
        <v>110386</v>
      </c>
    </row>
    <row r="213" spans="1:34">
      <c r="A213" s="352" t="s">
        <v>85</v>
      </c>
      <c r="B213" s="427">
        <v>9</v>
      </c>
      <c r="C213" s="220" t="s">
        <v>21</v>
      </c>
      <c r="D213" s="379" t="s">
        <v>557</v>
      </c>
      <c r="E213"/>
      <c r="F213"/>
      <c r="G213" s="379"/>
      <c r="H213"/>
      <c r="I213"/>
      <c r="J213" t="str">
        <f t="shared" si="47"/>
        <v>MI-Yes</v>
      </c>
      <c r="K213" t="str">
        <f t="shared" si="48"/>
        <v>MI-Yes</v>
      </c>
      <c r="L213" s="354"/>
      <c r="M213" s="354"/>
      <c r="N213" s="255">
        <v>1982</v>
      </c>
      <c r="O213" s="416">
        <v>136342</v>
      </c>
      <c r="P213" s="416"/>
      <c r="Q213" s="416">
        <v>81470</v>
      </c>
      <c r="R213" s="416"/>
      <c r="S213" s="416">
        <v>7945</v>
      </c>
      <c r="T213" s="353">
        <f t="shared" si="49"/>
        <v>225757</v>
      </c>
      <c r="U213" s="228"/>
      <c r="V213" s="221">
        <f t="shared" si="50"/>
        <v>136342</v>
      </c>
      <c r="W213" s="388">
        <f t="shared" si="44"/>
        <v>81470</v>
      </c>
      <c r="X213" s="222">
        <f t="shared" si="51"/>
        <v>0.25192367729968962</v>
      </c>
      <c r="Y213" s="421">
        <f t="shared" si="58"/>
        <v>0.24305780108700947</v>
      </c>
      <c r="Z213" s="223">
        <f t="shared" si="52"/>
        <v>0.603932546942066</v>
      </c>
      <c r="AA213" s="224" t="str">
        <f t="shared" si="46"/>
        <v>MI-No</v>
      </c>
      <c r="AB213" s="225" t="str">
        <f t="shared" si="53"/>
        <v>MI-Dem</v>
      </c>
      <c r="AC213" s="422" t="str">
        <f>C213&amp;"-"&amp;IF(Y213&gt;Instructions!$H$14,Instructions!$I$14,IF(Y213&gt;Instructions!$H$15,Instructions!$I$15,IF(Y213&gt;Instructions!$H$16,Instructions!$I$16,IF(Y213&gt;Instructions!$H$17,Instructions!$I$17,Instructions!$I$18))))</f>
        <v>MI-Landslide</v>
      </c>
      <c r="AD213" s="226">
        <f t="shared" si="54"/>
        <v>0</v>
      </c>
      <c r="AE213" s="226">
        <f t="shared" si="55"/>
        <v>81470</v>
      </c>
      <c r="AF213" s="227">
        <f t="shared" si="56"/>
        <v>7945</v>
      </c>
      <c r="AG213" s="341">
        <f t="shared" si="57"/>
        <v>89415</v>
      </c>
    </row>
    <row r="214" spans="1:34">
      <c r="A214" s="352" t="s">
        <v>85</v>
      </c>
      <c r="B214" s="426">
        <v>10</v>
      </c>
      <c r="C214" s="220" t="s">
        <v>21</v>
      </c>
      <c r="D214" s="379" t="s">
        <v>558</v>
      </c>
      <c r="E214" t="s">
        <v>357</v>
      </c>
      <c r="F214"/>
      <c r="G214" s="379"/>
      <c r="H214"/>
      <c r="I214"/>
      <c r="J214" t="str">
        <f t="shared" si="47"/>
        <v>MI-Yes</v>
      </c>
      <c r="K214" t="str">
        <f t="shared" si="48"/>
        <v>MI-Yes</v>
      </c>
      <c r="L214" s="415"/>
      <c r="M214" s="415"/>
      <c r="N214" s="255">
        <v>2002</v>
      </c>
      <c r="O214" s="416">
        <v>67143</v>
      </c>
      <c r="P214" s="416"/>
      <c r="Q214" s="416">
        <v>157069</v>
      </c>
      <c r="R214" s="416"/>
      <c r="S214" s="416">
        <v>4480</v>
      </c>
      <c r="T214" s="353">
        <f t="shared" si="49"/>
        <v>228692</v>
      </c>
      <c r="U214" s="396"/>
      <c r="V214" s="221">
        <f t="shared" si="50"/>
        <v>157069</v>
      </c>
      <c r="W214" s="388">
        <f t="shared" si="44"/>
        <v>67143</v>
      </c>
      <c r="X214" s="222">
        <f t="shared" si="51"/>
        <v>0.40107576757711449</v>
      </c>
      <c r="Y214" s="421">
        <f t="shared" si="58"/>
        <v>0.3932188270687213</v>
      </c>
      <c r="Z214" s="223">
        <f t="shared" si="52"/>
        <v>0.68681458030888709</v>
      </c>
      <c r="AA214" s="224" t="str">
        <f t="shared" si="46"/>
        <v>MI-No</v>
      </c>
      <c r="AB214" s="225" t="str">
        <f t="shared" si="53"/>
        <v>MI-Rep</v>
      </c>
      <c r="AC214" s="422" t="str">
        <f>C214&amp;"-"&amp;IF(Y214&gt;Instructions!$H$14,Instructions!$I$14,IF(Y214&gt;Instructions!$H$15,Instructions!$I$15,IF(Y214&gt;Instructions!$H$16,Instructions!$I$16,IF(Y214&gt;Instructions!$H$17,Instructions!$I$17,Instructions!$I$18))))</f>
        <v>MI-Landslide</v>
      </c>
      <c r="AD214" s="226">
        <f t="shared" si="54"/>
        <v>67143</v>
      </c>
      <c r="AE214" s="226">
        <f t="shared" si="55"/>
        <v>0</v>
      </c>
      <c r="AF214" s="227">
        <f t="shared" si="56"/>
        <v>4480</v>
      </c>
      <c r="AG214" s="341">
        <f t="shared" si="57"/>
        <v>71623</v>
      </c>
      <c r="AH214" s="380"/>
    </row>
    <row r="215" spans="1:34">
      <c r="A215" s="352" t="s">
        <v>85</v>
      </c>
      <c r="B215" s="427">
        <v>11</v>
      </c>
      <c r="C215" s="220" t="s">
        <v>21</v>
      </c>
      <c r="D215" s="379" t="s">
        <v>794</v>
      </c>
      <c r="E215"/>
      <c r="F215" s="379"/>
      <c r="G215"/>
      <c r="H215"/>
      <c r="I215"/>
      <c r="J215" t="str">
        <f t="shared" si="47"/>
        <v>MI-No</v>
      </c>
      <c r="K215" t="str">
        <f t="shared" si="48"/>
        <v>MI-No</v>
      </c>
      <c r="L215" s="415">
        <v>0</v>
      </c>
      <c r="M215" s="352"/>
      <c r="N215" s="255">
        <v>2014</v>
      </c>
      <c r="O215" s="416">
        <v>101681</v>
      </c>
      <c r="P215" s="416"/>
      <c r="Q215" s="416">
        <v>140435</v>
      </c>
      <c r="R215" s="416"/>
      <c r="S215" s="416">
        <v>9122</v>
      </c>
      <c r="T215" s="353">
        <f t="shared" si="49"/>
        <v>251238</v>
      </c>
      <c r="U215" s="396"/>
      <c r="V215" s="221">
        <f t="shared" si="50"/>
        <v>140435</v>
      </c>
      <c r="W215" s="388">
        <f t="shared" si="44"/>
        <v>101681</v>
      </c>
      <c r="X215" s="222">
        <f t="shared" si="51"/>
        <v>0.1600637710849345</v>
      </c>
      <c r="Y215" s="421">
        <f t="shared" si="58"/>
        <v>0.15425214338595278</v>
      </c>
      <c r="Z215" s="223">
        <f t="shared" si="52"/>
        <v>0.55897197080059546</v>
      </c>
      <c r="AA215" s="224" t="str">
        <f t="shared" si="46"/>
        <v>MI-No</v>
      </c>
      <c r="AB215" s="225" t="str">
        <f t="shared" si="53"/>
        <v>MI-Rep</v>
      </c>
      <c r="AC215" s="422" t="str">
        <f>C215&amp;"-"&amp;IF(Y215&gt;Instructions!$H$14,Instructions!$I$14,IF(Y215&gt;Instructions!$H$15,Instructions!$I$15,IF(Y215&gt;Instructions!$H$16,Instructions!$I$16,IF(Y215&gt;Instructions!$H$17,Instructions!$I$17,Instructions!$I$18))))</f>
        <v>MI-Opportunity</v>
      </c>
      <c r="AD215" s="226">
        <f t="shared" si="54"/>
        <v>101681</v>
      </c>
      <c r="AE215" s="226">
        <f t="shared" si="55"/>
        <v>0</v>
      </c>
      <c r="AF215" s="227">
        <f t="shared" si="56"/>
        <v>9122</v>
      </c>
      <c r="AG215" s="341">
        <f t="shared" si="57"/>
        <v>110803</v>
      </c>
      <c r="AH215" s="380"/>
    </row>
    <row r="216" spans="1:34">
      <c r="A216" s="352" t="s">
        <v>85</v>
      </c>
      <c r="B216" s="427">
        <v>12</v>
      </c>
      <c r="C216" s="220" t="s">
        <v>21</v>
      </c>
      <c r="D216" s="379" t="s">
        <v>795</v>
      </c>
      <c r="E216" t="s">
        <v>357</v>
      </c>
      <c r="F216" s="379"/>
      <c r="G216"/>
      <c r="H216"/>
      <c r="I216"/>
      <c r="J216" t="str">
        <f t="shared" si="47"/>
        <v>MI-No</v>
      </c>
      <c r="K216" t="str">
        <f t="shared" si="48"/>
        <v>MI-No</v>
      </c>
      <c r="L216" s="415">
        <v>0</v>
      </c>
      <c r="M216" s="417"/>
      <c r="N216" s="255">
        <v>2014</v>
      </c>
      <c r="O216" s="416">
        <v>134346</v>
      </c>
      <c r="P216" s="416"/>
      <c r="Q216" s="416">
        <v>64716</v>
      </c>
      <c r="R216" s="416"/>
      <c r="S216" s="416">
        <v>7598</v>
      </c>
      <c r="T216" s="353">
        <f t="shared" si="49"/>
        <v>206660</v>
      </c>
      <c r="U216" s="228"/>
      <c r="V216" s="221">
        <f t="shared" si="50"/>
        <v>134346</v>
      </c>
      <c r="W216" s="388">
        <f t="shared" si="44"/>
        <v>64716</v>
      </c>
      <c r="X216" s="222">
        <f t="shared" si="51"/>
        <v>0.34979051752720258</v>
      </c>
      <c r="Y216" s="421">
        <f t="shared" si="58"/>
        <v>0.3369302235555986</v>
      </c>
      <c r="Z216" s="223">
        <f t="shared" si="52"/>
        <v>0.65008226071808772</v>
      </c>
      <c r="AA216" s="224" t="str">
        <f t="shared" si="46"/>
        <v>MI-No</v>
      </c>
      <c r="AB216" s="225" t="str">
        <f t="shared" si="53"/>
        <v>MI-Dem</v>
      </c>
      <c r="AC216" s="422" t="str">
        <f>C216&amp;"-"&amp;IF(Y216&gt;Instructions!$H$14,Instructions!$I$14,IF(Y216&gt;Instructions!$H$15,Instructions!$I$15,IF(Y216&gt;Instructions!$H$16,Instructions!$I$16,IF(Y216&gt;Instructions!$H$17,Instructions!$I$17,Instructions!$I$18))))</f>
        <v>MI-Landslide</v>
      </c>
      <c r="AD216" s="226">
        <f t="shared" si="54"/>
        <v>0</v>
      </c>
      <c r="AE216" s="226">
        <f t="shared" si="55"/>
        <v>64716</v>
      </c>
      <c r="AF216" s="227">
        <f t="shared" si="56"/>
        <v>7598</v>
      </c>
      <c r="AG216" s="341">
        <f t="shared" si="57"/>
        <v>72314</v>
      </c>
    </row>
    <row r="217" spans="1:34">
      <c r="A217" s="352" t="s">
        <v>85</v>
      </c>
      <c r="B217" s="427">
        <v>13</v>
      </c>
      <c r="C217" s="220" t="s">
        <v>21</v>
      </c>
      <c r="D217" s="379" t="s">
        <v>559</v>
      </c>
      <c r="E217" s="379"/>
      <c r="F217" t="s">
        <v>357</v>
      </c>
      <c r="G217"/>
      <c r="H217"/>
      <c r="I217"/>
      <c r="J217" t="str">
        <f t="shared" si="47"/>
        <v>MI-Yes</v>
      </c>
      <c r="K217" t="str">
        <f t="shared" si="48"/>
        <v>MI-Yes</v>
      </c>
      <c r="L217" s="417"/>
      <c r="M217" s="417"/>
      <c r="N217" s="255">
        <v>1964</v>
      </c>
      <c r="O217" s="416">
        <v>132710</v>
      </c>
      <c r="P217" s="416"/>
      <c r="Q217" s="416">
        <v>27234</v>
      </c>
      <c r="R217" s="416"/>
      <c r="S217" s="416">
        <v>7003</v>
      </c>
      <c r="T217" s="353">
        <f t="shared" si="49"/>
        <v>166947</v>
      </c>
      <c r="U217" s="228"/>
      <c r="V217" s="221">
        <f t="shared" si="50"/>
        <v>132710</v>
      </c>
      <c r="W217" s="388">
        <f t="shared" si="44"/>
        <v>27234</v>
      </c>
      <c r="X217" s="222">
        <f t="shared" si="51"/>
        <v>0.65945580953333671</v>
      </c>
      <c r="Y217" s="421">
        <f t="shared" si="58"/>
        <v>0.6317933236296549</v>
      </c>
      <c r="Z217" s="223">
        <f t="shared" si="52"/>
        <v>0.79492293961556659</v>
      </c>
      <c r="AA217" s="224" t="str">
        <f t="shared" si="46"/>
        <v>MI-No</v>
      </c>
      <c r="AB217" s="225" t="str">
        <f t="shared" si="53"/>
        <v>MI-Dem</v>
      </c>
      <c r="AC217" s="422" t="str">
        <f>C217&amp;"-"&amp;IF(Y217&gt;Instructions!$H$14,Instructions!$I$14,IF(Y217&gt;Instructions!$H$15,Instructions!$I$15,IF(Y217&gt;Instructions!$H$16,Instructions!$I$16,IF(Y217&gt;Instructions!$H$17,Instructions!$I$17,Instructions!$I$18))))</f>
        <v>MI-No contest</v>
      </c>
      <c r="AD217" s="226">
        <f t="shared" si="54"/>
        <v>0</v>
      </c>
      <c r="AE217" s="226">
        <f t="shared" si="55"/>
        <v>27234</v>
      </c>
      <c r="AF217" s="227">
        <f t="shared" si="56"/>
        <v>7003</v>
      </c>
      <c r="AG217" s="341">
        <f t="shared" si="57"/>
        <v>34237</v>
      </c>
    </row>
    <row r="218" spans="1:34">
      <c r="A218" s="352" t="s">
        <v>85</v>
      </c>
      <c r="B218" s="427">
        <v>14</v>
      </c>
      <c r="C218" s="220" t="s">
        <v>21</v>
      </c>
      <c r="D218" s="379" t="s">
        <v>796</v>
      </c>
      <c r="E218" s="379" t="s">
        <v>357</v>
      </c>
      <c r="F218" s="379" t="s">
        <v>357</v>
      </c>
      <c r="G218"/>
      <c r="H218"/>
      <c r="I218"/>
      <c r="J218" t="str">
        <f t="shared" si="47"/>
        <v>MI-No</v>
      </c>
      <c r="K218" t="str">
        <f t="shared" si="48"/>
        <v>MI-No</v>
      </c>
      <c r="L218" s="415">
        <v>0</v>
      </c>
      <c r="M218" s="417"/>
      <c r="N218" s="255">
        <v>2014</v>
      </c>
      <c r="O218" s="416">
        <v>165272</v>
      </c>
      <c r="P218" s="416"/>
      <c r="Q218" s="416">
        <v>41801</v>
      </c>
      <c r="R218" s="416"/>
      <c r="S218" s="416">
        <v>5395</v>
      </c>
      <c r="T218" s="353">
        <f t="shared" si="49"/>
        <v>212468</v>
      </c>
      <c r="U218" s="228"/>
      <c r="V218" s="221">
        <f t="shared" si="50"/>
        <v>165272</v>
      </c>
      <c r="W218" s="388">
        <f t="shared" si="44"/>
        <v>41801</v>
      </c>
      <c r="X218" s="222">
        <f t="shared" si="51"/>
        <v>0.59626798278867843</v>
      </c>
      <c r="Y218" s="421">
        <f t="shared" si="58"/>
        <v>0.58112751096635729</v>
      </c>
      <c r="Z218" s="223">
        <f t="shared" si="52"/>
        <v>0.77786772596343923</v>
      </c>
      <c r="AA218" s="224" t="str">
        <f t="shared" si="46"/>
        <v>MI-No</v>
      </c>
      <c r="AB218" s="225" t="str">
        <f t="shared" si="53"/>
        <v>MI-Dem</v>
      </c>
      <c r="AC218" s="422" t="str">
        <f>C218&amp;"-"&amp;IF(Y218&gt;Instructions!$H$14,Instructions!$I$14,IF(Y218&gt;Instructions!$H$15,Instructions!$I$15,IF(Y218&gt;Instructions!$H$16,Instructions!$I$16,IF(Y218&gt;Instructions!$H$17,Instructions!$I$17,Instructions!$I$18))))</f>
        <v>MI-No contest</v>
      </c>
      <c r="AD218" s="226">
        <f t="shared" si="54"/>
        <v>0</v>
      </c>
      <c r="AE218" s="226">
        <f t="shared" si="55"/>
        <v>41801</v>
      </c>
      <c r="AF218" s="227">
        <f t="shared" si="56"/>
        <v>5395</v>
      </c>
      <c r="AG218" s="341">
        <f t="shared" si="57"/>
        <v>47196</v>
      </c>
    </row>
    <row r="219" spans="1:34">
      <c r="A219" s="352" t="s">
        <v>86</v>
      </c>
      <c r="B219" s="427">
        <v>1</v>
      </c>
      <c r="C219" s="220" t="s">
        <v>22</v>
      </c>
      <c r="D219" s="379" t="s">
        <v>560</v>
      </c>
      <c r="E219"/>
      <c r="F219" s="379"/>
      <c r="G219"/>
      <c r="H219"/>
      <c r="I219"/>
      <c r="J219" t="str">
        <f t="shared" si="47"/>
        <v>MN-Yes</v>
      </c>
      <c r="K219" t="str">
        <f t="shared" si="48"/>
        <v>MN-Yes</v>
      </c>
      <c r="L219" s="417"/>
      <c r="M219" s="417"/>
      <c r="N219" s="255">
        <v>2006</v>
      </c>
      <c r="O219" s="416">
        <v>122851</v>
      </c>
      <c r="P219" s="416"/>
      <c r="Q219" s="416">
        <v>103536</v>
      </c>
      <c r="R219" s="416"/>
      <c r="S219" s="416">
        <v>308</v>
      </c>
      <c r="T219" s="353">
        <f t="shared" si="49"/>
        <v>226695</v>
      </c>
      <c r="U219" s="228"/>
      <c r="V219" s="221">
        <f t="shared" si="50"/>
        <v>122851</v>
      </c>
      <c r="W219" s="388">
        <f t="shared" si="44"/>
        <v>103536</v>
      </c>
      <c r="X219" s="222">
        <f t="shared" si="51"/>
        <v>8.5318503270947532E-2</v>
      </c>
      <c r="Y219" s="421">
        <f t="shared" si="58"/>
        <v>8.5202584970996309E-2</v>
      </c>
      <c r="Z219" s="223">
        <f t="shared" si="52"/>
        <v>0.54192196563664841</v>
      </c>
      <c r="AA219" s="224" t="str">
        <f t="shared" si="46"/>
        <v>MN-No</v>
      </c>
      <c r="AB219" s="225" t="str">
        <f t="shared" si="53"/>
        <v>MN-Dem</v>
      </c>
      <c r="AC219" s="422" t="str">
        <f>C219&amp;"-"&amp;IF(Y219&gt;Instructions!$H$14,Instructions!$I$14,IF(Y219&gt;Instructions!$H$15,Instructions!$I$15,IF(Y219&gt;Instructions!$H$16,Instructions!$I$16,IF(Y219&gt;Instructions!$H$17,Instructions!$I$17,Instructions!$I$18))))</f>
        <v>MN-Competitive</v>
      </c>
      <c r="AD219" s="226">
        <f t="shared" si="54"/>
        <v>0</v>
      </c>
      <c r="AE219" s="226">
        <f t="shared" si="55"/>
        <v>103536</v>
      </c>
      <c r="AF219" s="227">
        <f t="shared" si="56"/>
        <v>308</v>
      </c>
      <c r="AG219" s="341">
        <f t="shared" si="57"/>
        <v>103844</v>
      </c>
      <c r="AH219" s="413">
        <f>SUM(AG205:AG219)</f>
        <v>1294163</v>
      </c>
    </row>
    <row r="220" spans="1:34">
      <c r="A220" s="352" t="s">
        <v>86</v>
      </c>
      <c r="B220" s="427">
        <v>2</v>
      </c>
      <c r="C220" s="220" t="s">
        <v>22</v>
      </c>
      <c r="D220" s="379" t="s">
        <v>561</v>
      </c>
      <c r="E220" s="379"/>
      <c r="F220" s="379"/>
      <c r="G220" s="379"/>
      <c r="H220"/>
      <c r="I220"/>
      <c r="J220" t="str">
        <f t="shared" si="47"/>
        <v>MN-Yes</v>
      </c>
      <c r="K220" t="str">
        <f t="shared" si="48"/>
        <v>MN-Yes</v>
      </c>
      <c r="L220" s="415"/>
      <c r="M220" s="415"/>
      <c r="N220" s="255">
        <v>2002</v>
      </c>
      <c r="O220" s="416">
        <v>95565</v>
      </c>
      <c r="P220" s="416"/>
      <c r="Q220" s="416">
        <v>137778</v>
      </c>
      <c r="R220" s="416"/>
      <c r="S220" s="416">
        <v>12505</v>
      </c>
      <c r="T220" s="353">
        <f t="shared" si="49"/>
        <v>245848</v>
      </c>
      <c r="U220" s="228"/>
      <c r="V220" s="221">
        <f t="shared" si="50"/>
        <v>137778</v>
      </c>
      <c r="W220" s="388">
        <f t="shared" si="44"/>
        <v>95565</v>
      </c>
      <c r="X220" s="222">
        <f t="shared" si="51"/>
        <v>0.18090536249212533</v>
      </c>
      <c r="Y220" s="421">
        <f t="shared" si="58"/>
        <v>0.17170365429045592</v>
      </c>
      <c r="Z220" s="223">
        <f t="shared" si="52"/>
        <v>0.56041944616185613</v>
      </c>
      <c r="AA220" s="224" t="str">
        <f t="shared" si="46"/>
        <v>MN-No</v>
      </c>
      <c r="AB220" s="225" t="str">
        <f t="shared" si="53"/>
        <v>MN-Rep</v>
      </c>
      <c r="AC220" s="422" t="str">
        <f>C220&amp;"-"&amp;IF(Y220&gt;Instructions!$H$14,Instructions!$I$14,IF(Y220&gt;Instructions!$H$15,Instructions!$I$15,IF(Y220&gt;Instructions!$H$16,Instructions!$I$16,IF(Y220&gt;Instructions!$H$17,Instructions!$I$17,Instructions!$I$18))))</f>
        <v>MN-Opportunity</v>
      </c>
      <c r="AD220" s="226">
        <f t="shared" si="54"/>
        <v>95565</v>
      </c>
      <c r="AE220" s="226">
        <f t="shared" si="55"/>
        <v>0</v>
      </c>
      <c r="AF220" s="227">
        <f t="shared" si="56"/>
        <v>12505</v>
      </c>
      <c r="AG220" s="341">
        <f t="shared" si="57"/>
        <v>108070</v>
      </c>
    </row>
    <row r="221" spans="1:34">
      <c r="A221" s="352" t="s">
        <v>86</v>
      </c>
      <c r="B221" s="427">
        <v>3</v>
      </c>
      <c r="C221" s="220" t="s">
        <v>22</v>
      </c>
      <c r="D221" s="379" t="s">
        <v>562</v>
      </c>
      <c r="E221"/>
      <c r="F221" s="379"/>
      <c r="G221" s="379"/>
      <c r="H221"/>
      <c r="I221"/>
      <c r="J221" t="str">
        <f t="shared" si="47"/>
        <v>MN-Yes</v>
      </c>
      <c r="K221" t="str">
        <f t="shared" si="48"/>
        <v>MN-Yes</v>
      </c>
      <c r="L221" s="415"/>
      <c r="M221" s="415"/>
      <c r="N221" s="255">
        <v>2008</v>
      </c>
      <c r="O221" s="416">
        <v>101846</v>
      </c>
      <c r="P221" s="416"/>
      <c r="Q221" s="416">
        <v>167515</v>
      </c>
      <c r="R221" s="416"/>
      <c r="S221" s="416">
        <v>224</v>
      </c>
      <c r="T221" s="353">
        <f t="shared" si="49"/>
        <v>269585</v>
      </c>
      <c r="U221" s="228"/>
      <c r="V221" s="221">
        <f t="shared" si="50"/>
        <v>167515</v>
      </c>
      <c r="W221" s="388">
        <f t="shared" ref="W221:W284" si="59">LARGE(O221:S221, 2)</f>
        <v>101846</v>
      </c>
      <c r="X221" s="222">
        <f t="shared" si="51"/>
        <v>0.24379550120470297</v>
      </c>
      <c r="Y221" s="421">
        <f t="shared" si="58"/>
        <v>0.24359292987369474</v>
      </c>
      <c r="Z221" s="223">
        <f t="shared" si="52"/>
        <v>0.62138101155479719</v>
      </c>
      <c r="AA221" s="224" t="str">
        <f t="shared" si="46"/>
        <v>MN-No</v>
      </c>
      <c r="AB221" s="225" t="str">
        <f t="shared" si="53"/>
        <v>MN-Rep</v>
      </c>
      <c r="AC221" s="422" t="str">
        <f>C221&amp;"-"&amp;IF(Y221&gt;Instructions!$H$14,Instructions!$I$14,IF(Y221&gt;Instructions!$H$15,Instructions!$I$15,IF(Y221&gt;Instructions!$H$16,Instructions!$I$16,IF(Y221&gt;Instructions!$H$17,Instructions!$I$17,Instructions!$I$18))))</f>
        <v>MN-Landslide</v>
      </c>
      <c r="AD221" s="226">
        <f t="shared" si="54"/>
        <v>101846</v>
      </c>
      <c r="AE221" s="226">
        <f t="shared" si="55"/>
        <v>0</v>
      </c>
      <c r="AF221" s="227">
        <f t="shared" si="56"/>
        <v>224</v>
      </c>
      <c r="AG221" s="341">
        <f t="shared" si="57"/>
        <v>102070</v>
      </c>
    </row>
    <row r="222" spans="1:34">
      <c r="A222" s="352" t="s">
        <v>86</v>
      </c>
      <c r="B222" s="427">
        <v>4</v>
      </c>
      <c r="C222" s="220" t="s">
        <v>22</v>
      </c>
      <c r="D222" s="379" t="s">
        <v>563</v>
      </c>
      <c r="E222" s="414" t="s">
        <v>358</v>
      </c>
      <c r="F222" s="379"/>
      <c r="G222"/>
      <c r="H222"/>
      <c r="I222" s="414"/>
      <c r="J222" t="str">
        <f t="shared" si="47"/>
        <v>MN-Yes</v>
      </c>
      <c r="K222" t="str">
        <f t="shared" si="48"/>
        <v>MN-Yes</v>
      </c>
      <c r="L222" s="417"/>
      <c r="M222" s="417"/>
      <c r="N222" s="255">
        <v>2000</v>
      </c>
      <c r="O222" s="416">
        <v>147857</v>
      </c>
      <c r="P222" s="416"/>
      <c r="Q222" s="416">
        <v>79492</v>
      </c>
      <c r="R222" s="416"/>
      <c r="S222" s="416">
        <v>14288</v>
      </c>
      <c r="T222" s="353">
        <f t="shared" si="49"/>
        <v>241637</v>
      </c>
      <c r="U222" s="228"/>
      <c r="V222" s="221">
        <f t="shared" si="50"/>
        <v>147857</v>
      </c>
      <c r="W222" s="388">
        <f t="shared" si="59"/>
        <v>79492</v>
      </c>
      <c r="X222" s="222">
        <f t="shared" si="51"/>
        <v>0.30070508337401969</v>
      </c>
      <c r="Y222" s="421">
        <f t="shared" si="58"/>
        <v>0.28292438657986979</v>
      </c>
      <c r="Z222" s="223">
        <f t="shared" si="52"/>
        <v>0.61189718461990505</v>
      </c>
      <c r="AA222" s="224" t="str">
        <f t="shared" si="46"/>
        <v>MN-No</v>
      </c>
      <c r="AB222" s="225" t="str">
        <f t="shared" si="53"/>
        <v>MN-Dem</v>
      </c>
      <c r="AC222" s="422" t="str">
        <f>C222&amp;"-"&amp;IF(Y222&gt;Instructions!$H$14,Instructions!$I$14,IF(Y222&gt;Instructions!$H$15,Instructions!$I$15,IF(Y222&gt;Instructions!$H$16,Instructions!$I$16,IF(Y222&gt;Instructions!$H$17,Instructions!$I$17,Instructions!$I$18))))</f>
        <v>MN-Landslide</v>
      </c>
      <c r="AD222" s="226">
        <f t="shared" si="54"/>
        <v>0</v>
      </c>
      <c r="AE222" s="226">
        <f t="shared" si="55"/>
        <v>79492</v>
      </c>
      <c r="AF222" s="227">
        <f t="shared" si="56"/>
        <v>14288</v>
      </c>
      <c r="AG222" s="341">
        <f t="shared" si="57"/>
        <v>93780</v>
      </c>
    </row>
    <row r="223" spans="1:34">
      <c r="A223" s="352" t="s">
        <v>86</v>
      </c>
      <c r="B223" s="427">
        <v>5</v>
      </c>
      <c r="C223" s="220" t="s">
        <v>22</v>
      </c>
      <c r="D223" s="379" t="s">
        <v>564</v>
      </c>
      <c r="E223" s="381"/>
      <c r="F223" s="414" t="s">
        <v>358</v>
      </c>
      <c r="G223"/>
      <c r="H223"/>
      <c r="I223"/>
      <c r="J223" t="str">
        <f t="shared" si="47"/>
        <v>MN-Yes</v>
      </c>
      <c r="K223" t="str">
        <f t="shared" si="48"/>
        <v>MN-Yes</v>
      </c>
      <c r="L223" s="417"/>
      <c r="M223" s="417"/>
      <c r="N223" s="255">
        <v>2006</v>
      </c>
      <c r="O223" s="416">
        <v>167079</v>
      </c>
      <c r="P223" s="416"/>
      <c r="Q223" s="416">
        <v>56577</v>
      </c>
      <c r="R223" s="416"/>
      <c r="S223" s="416">
        <v>12353</v>
      </c>
      <c r="T223" s="353">
        <f t="shared" si="49"/>
        <v>236009</v>
      </c>
      <c r="U223" s="396"/>
      <c r="V223" s="221">
        <f t="shared" si="50"/>
        <v>167079</v>
      </c>
      <c r="W223" s="388">
        <f t="shared" si="59"/>
        <v>56577</v>
      </c>
      <c r="X223" s="222">
        <f t="shared" si="51"/>
        <v>0.49407125228028759</v>
      </c>
      <c r="Y223" s="421">
        <f t="shared" si="58"/>
        <v>0.46821095805668428</v>
      </c>
      <c r="Z223" s="223">
        <f t="shared" si="52"/>
        <v>0.70793486689066942</v>
      </c>
      <c r="AA223" s="224" t="str">
        <f t="shared" si="46"/>
        <v>MN-No</v>
      </c>
      <c r="AB223" s="225" t="str">
        <f t="shared" si="53"/>
        <v>MN-Dem</v>
      </c>
      <c r="AC223" s="422" t="str">
        <f>C223&amp;"-"&amp;IF(Y223&gt;Instructions!$H$14,Instructions!$I$14,IF(Y223&gt;Instructions!$H$15,Instructions!$I$15,IF(Y223&gt;Instructions!$H$16,Instructions!$I$16,IF(Y223&gt;Instructions!$H$17,Instructions!$I$17,Instructions!$I$18))))</f>
        <v>MN-No contest</v>
      </c>
      <c r="AD223" s="226">
        <f t="shared" si="54"/>
        <v>0</v>
      </c>
      <c r="AE223" s="226">
        <f t="shared" si="55"/>
        <v>56577</v>
      </c>
      <c r="AF223" s="227">
        <f t="shared" si="56"/>
        <v>12353</v>
      </c>
      <c r="AG223" s="341">
        <f t="shared" si="57"/>
        <v>68930</v>
      </c>
    </row>
    <row r="224" spans="1:34">
      <c r="A224" s="352" t="s">
        <v>86</v>
      </c>
      <c r="B224" s="427">
        <v>6</v>
      </c>
      <c r="C224" s="220" t="s">
        <v>22</v>
      </c>
      <c r="D224" s="379" t="s">
        <v>797</v>
      </c>
      <c r="E224" s="414"/>
      <c r="F224" s="381"/>
      <c r="G224"/>
      <c r="H224"/>
      <c r="I224"/>
      <c r="J224" t="str">
        <f t="shared" si="47"/>
        <v>MN-No</v>
      </c>
      <c r="K224" t="str">
        <f t="shared" si="48"/>
        <v>MN-No</v>
      </c>
      <c r="L224" s="415">
        <v>0</v>
      </c>
      <c r="M224" s="415"/>
      <c r="N224" s="255">
        <v>2014</v>
      </c>
      <c r="O224" s="416">
        <v>90926</v>
      </c>
      <c r="P224" s="416"/>
      <c r="Q224" s="416">
        <v>133328</v>
      </c>
      <c r="R224" s="416"/>
      <c r="S224" s="416">
        <v>12592</v>
      </c>
      <c r="T224" s="353">
        <f t="shared" si="49"/>
        <v>236846</v>
      </c>
      <c r="U224" s="228"/>
      <c r="V224" s="221">
        <f t="shared" si="50"/>
        <v>133328</v>
      </c>
      <c r="W224" s="388">
        <f t="shared" si="59"/>
        <v>90926</v>
      </c>
      <c r="X224" s="222">
        <f t="shared" si="51"/>
        <v>0.18908023937142704</v>
      </c>
      <c r="Y224" s="421">
        <f t="shared" si="58"/>
        <v>0.17902772265522748</v>
      </c>
      <c r="Z224" s="223">
        <f t="shared" si="52"/>
        <v>0.56293118735380798</v>
      </c>
      <c r="AA224" s="224" t="str">
        <f t="shared" si="46"/>
        <v>MN-No</v>
      </c>
      <c r="AB224" s="225" t="str">
        <f t="shared" si="53"/>
        <v>MN-Rep</v>
      </c>
      <c r="AC224" s="422" t="str">
        <f>C224&amp;"-"&amp;IF(Y224&gt;Instructions!$H$14,Instructions!$I$14,IF(Y224&gt;Instructions!$H$15,Instructions!$I$15,IF(Y224&gt;Instructions!$H$16,Instructions!$I$16,IF(Y224&gt;Instructions!$H$17,Instructions!$I$17,Instructions!$I$18))))</f>
        <v>MN-Opportunity</v>
      </c>
      <c r="AD224" s="226">
        <f t="shared" si="54"/>
        <v>90926</v>
      </c>
      <c r="AE224" s="226">
        <f t="shared" si="55"/>
        <v>0</v>
      </c>
      <c r="AF224" s="227">
        <f t="shared" si="56"/>
        <v>12592</v>
      </c>
      <c r="AG224" s="341">
        <f t="shared" si="57"/>
        <v>103518</v>
      </c>
    </row>
    <row r="225" spans="1:34">
      <c r="A225" s="352" t="s">
        <v>86</v>
      </c>
      <c r="B225" s="427">
        <v>7</v>
      </c>
      <c r="C225" s="220" t="s">
        <v>22</v>
      </c>
      <c r="D225" s="379" t="s">
        <v>565</v>
      </c>
      <c r="E225" s="381"/>
      <c r="F225" s="379"/>
      <c r="G225"/>
      <c r="H225"/>
      <c r="I225"/>
      <c r="J225" t="str">
        <f t="shared" si="47"/>
        <v>MN-Yes</v>
      </c>
      <c r="K225" t="str">
        <f t="shared" si="48"/>
        <v>MN-Yes</v>
      </c>
      <c r="L225" s="354"/>
      <c r="M225" s="354"/>
      <c r="N225" s="255">
        <v>1990</v>
      </c>
      <c r="O225" s="416">
        <v>130546</v>
      </c>
      <c r="P225" s="416"/>
      <c r="Q225" s="416">
        <v>109955</v>
      </c>
      <c r="R225" s="416"/>
      <c r="S225" s="416">
        <v>334</v>
      </c>
      <c r="T225" s="353">
        <f t="shared" si="49"/>
        <v>240835</v>
      </c>
      <c r="U225" s="228"/>
      <c r="V225" s="221">
        <f t="shared" si="50"/>
        <v>130546</v>
      </c>
      <c r="W225" s="388">
        <f t="shared" si="59"/>
        <v>109955</v>
      </c>
      <c r="X225" s="222">
        <f t="shared" si="51"/>
        <v>8.5617107621174138E-2</v>
      </c>
      <c r="Y225" s="421">
        <f t="shared" si="58"/>
        <v>8.5498370253493106E-2</v>
      </c>
      <c r="Z225" s="223">
        <f t="shared" si="52"/>
        <v>0.54205576431997016</v>
      </c>
      <c r="AA225" s="224" t="str">
        <f t="shared" si="46"/>
        <v>MN-No</v>
      </c>
      <c r="AB225" s="225" t="str">
        <f t="shared" si="53"/>
        <v>MN-Dem</v>
      </c>
      <c r="AC225" s="422" t="str">
        <f>C225&amp;"-"&amp;IF(Y225&gt;Instructions!$H$14,Instructions!$I$14,IF(Y225&gt;Instructions!$H$15,Instructions!$I$15,IF(Y225&gt;Instructions!$H$16,Instructions!$I$16,IF(Y225&gt;Instructions!$H$17,Instructions!$I$17,Instructions!$I$18))))</f>
        <v>MN-Competitive</v>
      </c>
      <c r="AD225" s="226">
        <f t="shared" si="54"/>
        <v>0</v>
      </c>
      <c r="AE225" s="226">
        <f t="shared" si="55"/>
        <v>109955</v>
      </c>
      <c r="AF225" s="227">
        <f t="shared" si="56"/>
        <v>334</v>
      </c>
      <c r="AG225" s="341">
        <f t="shared" si="57"/>
        <v>110289</v>
      </c>
    </row>
    <row r="226" spans="1:34">
      <c r="A226" s="352" t="s">
        <v>86</v>
      </c>
      <c r="B226" s="427">
        <v>8</v>
      </c>
      <c r="C226" s="220" t="s">
        <v>22</v>
      </c>
      <c r="D226" s="379" t="s">
        <v>566</v>
      </c>
      <c r="E226" s="379"/>
      <c r="F226" s="379"/>
      <c r="G226"/>
      <c r="H226"/>
      <c r="I226"/>
      <c r="J226" t="str">
        <f t="shared" si="47"/>
        <v>MN-Yes</v>
      </c>
      <c r="K226" t="str">
        <f t="shared" si="48"/>
        <v>MN-Yes</v>
      </c>
      <c r="L226" s="417"/>
      <c r="M226" s="417"/>
      <c r="N226" s="255">
        <v>2012</v>
      </c>
      <c r="O226" s="416">
        <v>129090</v>
      </c>
      <c r="P226" s="416"/>
      <c r="Q226" s="416">
        <v>125358</v>
      </c>
      <c r="R226" s="416"/>
      <c r="S226" s="416">
        <v>11635</v>
      </c>
      <c r="T226" s="353">
        <f t="shared" si="49"/>
        <v>266083</v>
      </c>
      <c r="U226" s="228"/>
      <c r="V226" s="221">
        <f t="shared" si="50"/>
        <v>129090</v>
      </c>
      <c r="W226" s="388">
        <f t="shared" si="59"/>
        <v>125358</v>
      </c>
      <c r="X226" s="222">
        <f t="shared" si="51"/>
        <v>1.4667043953970949E-2</v>
      </c>
      <c r="Y226" s="421">
        <f t="shared" si="58"/>
        <v>1.4025698748135029E-2</v>
      </c>
      <c r="Z226" s="223">
        <f t="shared" si="52"/>
        <v>0.48514937068508701</v>
      </c>
      <c r="AA226" s="224" t="str">
        <f t="shared" si="46"/>
        <v>MN-No</v>
      </c>
      <c r="AB226" s="225" t="str">
        <f t="shared" si="53"/>
        <v>MN-Dem</v>
      </c>
      <c r="AC226" s="422" t="str">
        <f>C226&amp;"-"&amp;IF(Y226&gt;Instructions!$H$14,Instructions!$I$14,IF(Y226&gt;Instructions!$H$15,Instructions!$I$15,IF(Y226&gt;Instructions!$H$16,Instructions!$I$16,IF(Y226&gt;Instructions!$H$17,Instructions!$I$17,Instructions!$I$18))))</f>
        <v>MN-Tight</v>
      </c>
      <c r="AD226" s="226">
        <f t="shared" si="54"/>
        <v>0</v>
      </c>
      <c r="AE226" s="226">
        <f t="shared" si="55"/>
        <v>125358</v>
      </c>
      <c r="AF226" s="227">
        <f t="shared" si="56"/>
        <v>11635</v>
      </c>
      <c r="AG226" s="341">
        <f t="shared" si="57"/>
        <v>136993</v>
      </c>
    </row>
    <row r="227" spans="1:34">
      <c r="A227" s="352" t="s">
        <v>87</v>
      </c>
      <c r="B227" s="427">
        <v>1</v>
      </c>
      <c r="C227" s="220" t="s">
        <v>23</v>
      </c>
      <c r="D227" s="379" t="s">
        <v>567</v>
      </c>
      <c r="E227"/>
      <c r="F227"/>
      <c r="G227" s="379"/>
      <c r="H227"/>
      <c r="I227"/>
      <c r="J227" t="str">
        <f t="shared" si="47"/>
        <v>MS-Yes</v>
      </c>
      <c r="K227" t="str">
        <f t="shared" si="48"/>
        <v>MS-Yes</v>
      </c>
      <c r="L227" s="415"/>
      <c r="M227" s="415"/>
      <c r="N227" s="255">
        <v>2010</v>
      </c>
      <c r="O227" s="416">
        <v>43713</v>
      </c>
      <c r="P227" s="416"/>
      <c r="Q227" s="416">
        <v>102622</v>
      </c>
      <c r="R227" s="416"/>
      <c r="S227" s="416">
        <v>4776</v>
      </c>
      <c r="T227" s="353">
        <f t="shared" si="49"/>
        <v>151111</v>
      </c>
      <c r="U227" s="228"/>
      <c r="V227" s="221">
        <f t="shared" si="50"/>
        <v>102622</v>
      </c>
      <c r="W227" s="388">
        <f t="shared" si="59"/>
        <v>43713</v>
      </c>
      <c r="X227" s="222">
        <f t="shared" si="51"/>
        <v>0.4025626131820822</v>
      </c>
      <c r="Y227" s="421">
        <f t="shared" si="58"/>
        <v>0.38983925723474794</v>
      </c>
      <c r="Z227" s="223">
        <f t="shared" si="52"/>
        <v>0.67911667582108515</v>
      </c>
      <c r="AA227" s="224" t="str">
        <f t="shared" si="46"/>
        <v>MS-No</v>
      </c>
      <c r="AB227" s="225" t="str">
        <f t="shared" si="53"/>
        <v>MS-Rep</v>
      </c>
      <c r="AC227" s="422" t="str">
        <f>C227&amp;"-"&amp;IF(Y227&gt;Instructions!$H$14,Instructions!$I$14,IF(Y227&gt;Instructions!$H$15,Instructions!$I$15,IF(Y227&gt;Instructions!$H$16,Instructions!$I$16,IF(Y227&gt;Instructions!$H$17,Instructions!$I$17,Instructions!$I$18))))</f>
        <v>MS-Landslide</v>
      </c>
      <c r="AD227" s="226">
        <f t="shared" si="54"/>
        <v>43713</v>
      </c>
      <c r="AE227" s="226">
        <f t="shared" si="55"/>
        <v>0</v>
      </c>
      <c r="AF227" s="227">
        <f t="shared" si="56"/>
        <v>4776</v>
      </c>
      <c r="AG227" s="341">
        <f t="shared" si="57"/>
        <v>48489</v>
      </c>
      <c r="AH227" s="413">
        <f>SUM(AG220:AG227)</f>
        <v>772139</v>
      </c>
    </row>
    <row r="228" spans="1:34">
      <c r="A228" s="352" t="s">
        <v>87</v>
      </c>
      <c r="B228" s="427">
        <v>2</v>
      </c>
      <c r="C228" s="220" t="s">
        <v>23</v>
      </c>
      <c r="D228" s="379" t="s">
        <v>568</v>
      </c>
      <c r="E228" s="379"/>
      <c r="F228" s="414" t="s">
        <v>359</v>
      </c>
      <c r="G228" s="379"/>
      <c r="H228"/>
      <c r="I228"/>
      <c r="J228" t="str">
        <f t="shared" si="47"/>
        <v>MS-Yes</v>
      </c>
      <c r="K228" t="str">
        <f t="shared" si="48"/>
        <v>MS-Yes</v>
      </c>
      <c r="L228" s="417"/>
      <c r="M228" s="417"/>
      <c r="N228" s="255">
        <v>1993</v>
      </c>
      <c r="O228" s="416">
        <v>100688</v>
      </c>
      <c r="P228" s="416"/>
      <c r="Q228" s="416">
        <v>0</v>
      </c>
      <c r="R228" s="416"/>
      <c r="S228" s="416">
        <v>47958</v>
      </c>
      <c r="T228" s="353">
        <f t="shared" si="49"/>
        <v>148646</v>
      </c>
      <c r="U228" s="228"/>
      <c r="V228" s="221">
        <f t="shared" si="50"/>
        <v>100688</v>
      </c>
      <c r="W228" s="388">
        <v>36465</v>
      </c>
      <c r="X228" s="222">
        <f t="shared" si="51"/>
        <v>1</v>
      </c>
      <c r="Y228" s="421">
        <f t="shared" si="58"/>
        <v>0.43205333476851038</v>
      </c>
      <c r="Z228" s="223">
        <f t="shared" si="52"/>
        <v>0.6773677058245765</v>
      </c>
      <c r="AA228" s="224" t="str">
        <f t="shared" si="46"/>
        <v>MS-Yes</v>
      </c>
      <c r="AB228" s="225" t="str">
        <f t="shared" si="53"/>
        <v>MS-Dem</v>
      </c>
      <c r="AC228" s="422" t="str">
        <f>C228&amp;"-"&amp;IF(Y228&gt;Instructions!$H$14,Instructions!$I$14,IF(Y228&gt;Instructions!$H$15,Instructions!$I$15,IF(Y228&gt;Instructions!$H$16,Instructions!$I$16,IF(Y228&gt;Instructions!$H$17,Instructions!$I$17,Instructions!$I$18))))</f>
        <v>MS-No contest</v>
      </c>
      <c r="AD228" s="226">
        <f t="shared" si="54"/>
        <v>0</v>
      </c>
      <c r="AE228" s="226">
        <f t="shared" si="55"/>
        <v>0</v>
      </c>
      <c r="AF228" s="227">
        <f t="shared" si="56"/>
        <v>47958</v>
      </c>
      <c r="AG228" s="341">
        <f t="shared" si="57"/>
        <v>47958</v>
      </c>
    </row>
    <row r="229" spans="1:34">
      <c r="A229" s="352" t="s">
        <v>87</v>
      </c>
      <c r="B229" s="427">
        <v>3</v>
      </c>
      <c r="C229" s="220" t="s">
        <v>23</v>
      </c>
      <c r="D229" s="379" t="s">
        <v>569</v>
      </c>
      <c r="E229" s="379"/>
      <c r="F229" s="381"/>
      <c r="G229" s="379"/>
      <c r="H229"/>
      <c r="I229"/>
      <c r="J229" t="str">
        <f t="shared" si="47"/>
        <v>MS-Yes</v>
      </c>
      <c r="K229" t="str">
        <f t="shared" si="48"/>
        <v>MS-Yes</v>
      </c>
      <c r="L229" s="415"/>
      <c r="M229" s="415"/>
      <c r="N229" s="255">
        <v>2008</v>
      </c>
      <c r="O229" s="416">
        <v>47744</v>
      </c>
      <c r="P229" s="416"/>
      <c r="Q229" s="416">
        <v>117771</v>
      </c>
      <c r="R229" s="416"/>
      <c r="S229" s="416">
        <v>5431</v>
      </c>
      <c r="T229" s="353">
        <f t="shared" si="49"/>
        <v>170946</v>
      </c>
      <c r="U229" s="228"/>
      <c r="V229" s="221">
        <f t="shared" si="50"/>
        <v>117771</v>
      </c>
      <c r="W229" s="388">
        <f t="shared" si="59"/>
        <v>47744</v>
      </c>
      <c r="X229" s="222">
        <f t="shared" si="51"/>
        <v>0.42308552094976287</v>
      </c>
      <c r="Y229" s="421">
        <f t="shared" si="58"/>
        <v>0.40964398114024314</v>
      </c>
      <c r="Z229" s="223">
        <f t="shared" si="52"/>
        <v>0.68893685725316767</v>
      </c>
      <c r="AA229" s="224" t="str">
        <f t="shared" si="46"/>
        <v>MS-No</v>
      </c>
      <c r="AB229" s="225" t="str">
        <f t="shared" si="53"/>
        <v>MS-Rep</v>
      </c>
      <c r="AC229" s="422" t="str">
        <f>C229&amp;"-"&amp;IF(Y229&gt;Instructions!$H$14,Instructions!$I$14,IF(Y229&gt;Instructions!$H$15,Instructions!$I$15,IF(Y229&gt;Instructions!$H$16,Instructions!$I$16,IF(Y229&gt;Instructions!$H$17,Instructions!$I$17,Instructions!$I$18))))</f>
        <v>MS-No contest</v>
      </c>
      <c r="AD229" s="226">
        <f t="shared" si="54"/>
        <v>47744</v>
      </c>
      <c r="AE229" s="226">
        <f t="shared" si="55"/>
        <v>0</v>
      </c>
      <c r="AF229" s="227">
        <f t="shared" si="56"/>
        <v>5431</v>
      </c>
      <c r="AG229" s="341">
        <f t="shared" si="57"/>
        <v>53175</v>
      </c>
      <c r="AH229" s="380"/>
    </row>
    <row r="230" spans="1:34">
      <c r="A230" s="352" t="s">
        <v>87</v>
      </c>
      <c r="B230" s="427">
        <v>4</v>
      </c>
      <c r="C230" s="220" t="s">
        <v>23</v>
      </c>
      <c r="D230" s="379" t="s">
        <v>570</v>
      </c>
      <c r="E230"/>
      <c r="F230" s="379"/>
      <c r="G230"/>
      <c r="H230"/>
      <c r="I230"/>
      <c r="J230" t="str">
        <f t="shared" si="47"/>
        <v>MS-Yes</v>
      </c>
      <c r="K230" t="str">
        <f t="shared" si="48"/>
        <v>MS-Yes</v>
      </c>
      <c r="L230" s="415"/>
      <c r="M230" s="415"/>
      <c r="N230" s="255">
        <v>2010</v>
      </c>
      <c r="O230" s="416">
        <v>37869</v>
      </c>
      <c r="P230" s="416"/>
      <c r="Q230" s="416">
        <v>108776</v>
      </c>
      <c r="R230" s="416"/>
      <c r="S230" s="416">
        <v>8931</v>
      </c>
      <c r="T230" s="353">
        <f t="shared" si="49"/>
        <v>155576</v>
      </c>
      <c r="U230" s="228"/>
      <c r="V230" s="221">
        <f t="shared" si="50"/>
        <v>108776</v>
      </c>
      <c r="W230" s="388">
        <f t="shared" si="59"/>
        <v>37869</v>
      </c>
      <c r="X230" s="222">
        <f t="shared" si="51"/>
        <v>0.48352824849125436</v>
      </c>
      <c r="Y230" s="421">
        <f t="shared" si="58"/>
        <v>0.45577081297886568</v>
      </c>
      <c r="Z230" s="223">
        <f t="shared" si="52"/>
        <v>0.69918239317118325</v>
      </c>
      <c r="AA230" s="224" t="str">
        <f t="shared" si="46"/>
        <v>MS-No</v>
      </c>
      <c r="AB230" s="225" t="str">
        <f t="shared" si="53"/>
        <v>MS-Rep</v>
      </c>
      <c r="AC230" s="422" t="str">
        <f>C230&amp;"-"&amp;IF(Y230&gt;Instructions!$H$14,Instructions!$I$14,IF(Y230&gt;Instructions!$H$15,Instructions!$I$15,IF(Y230&gt;Instructions!$H$16,Instructions!$I$16,IF(Y230&gt;Instructions!$H$17,Instructions!$I$17,Instructions!$I$18))))</f>
        <v>MS-No contest</v>
      </c>
      <c r="AD230" s="226">
        <f t="shared" si="54"/>
        <v>37869</v>
      </c>
      <c r="AE230" s="226">
        <f t="shared" si="55"/>
        <v>0</v>
      </c>
      <c r="AF230" s="227">
        <f t="shared" si="56"/>
        <v>8931</v>
      </c>
      <c r="AG230" s="341">
        <f t="shared" si="57"/>
        <v>46800</v>
      </c>
    </row>
    <row r="231" spans="1:34">
      <c r="A231" s="352" t="s">
        <v>88</v>
      </c>
      <c r="B231" s="427">
        <v>1</v>
      </c>
      <c r="C231" s="220" t="s">
        <v>24</v>
      </c>
      <c r="D231" s="379" t="s">
        <v>571</v>
      </c>
      <c r="E231" s="379"/>
      <c r="F231" s="414" t="s">
        <v>360</v>
      </c>
      <c r="G231" s="379"/>
      <c r="H231"/>
      <c r="I231"/>
      <c r="J231" t="str">
        <f t="shared" si="47"/>
        <v>MO-Yes</v>
      </c>
      <c r="K231" t="str">
        <f t="shared" si="48"/>
        <v>MO-Yes</v>
      </c>
      <c r="L231" s="354"/>
      <c r="M231" s="354"/>
      <c r="N231" s="255">
        <v>2000</v>
      </c>
      <c r="O231" s="416">
        <v>119315</v>
      </c>
      <c r="P231" s="416"/>
      <c r="Q231" s="416">
        <v>35273</v>
      </c>
      <c r="R231" s="416"/>
      <c r="S231" s="416">
        <v>8906</v>
      </c>
      <c r="T231" s="353">
        <f t="shared" si="49"/>
        <v>163494</v>
      </c>
      <c r="U231" s="228"/>
      <c r="V231" s="221">
        <f t="shared" si="50"/>
        <v>119315</v>
      </c>
      <c r="W231" s="388">
        <f t="shared" si="59"/>
        <v>35273</v>
      </c>
      <c r="X231" s="222">
        <f t="shared" si="51"/>
        <v>0.54365151240717258</v>
      </c>
      <c r="Y231" s="421">
        <f t="shared" si="58"/>
        <v>0.51403721237476607</v>
      </c>
      <c r="Z231" s="223">
        <f t="shared" si="52"/>
        <v>0.7297821326776518</v>
      </c>
      <c r="AA231" s="224" t="str">
        <f t="shared" si="46"/>
        <v>MO-No</v>
      </c>
      <c r="AB231" s="225" t="str">
        <f t="shared" si="53"/>
        <v>MO-Dem</v>
      </c>
      <c r="AC231" s="422" t="str">
        <f>C231&amp;"-"&amp;IF(Y231&gt;Instructions!$H$14,Instructions!$I$14,IF(Y231&gt;Instructions!$H$15,Instructions!$I$15,IF(Y231&gt;Instructions!$H$16,Instructions!$I$16,IF(Y231&gt;Instructions!$H$17,Instructions!$I$17,Instructions!$I$18))))</f>
        <v>MO-No contest</v>
      </c>
      <c r="AD231" s="226">
        <f t="shared" si="54"/>
        <v>0</v>
      </c>
      <c r="AE231" s="226">
        <f t="shared" si="55"/>
        <v>35273</v>
      </c>
      <c r="AF231" s="227">
        <f t="shared" si="56"/>
        <v>8906</v>
      </c>
      <c r="AG231" s="341">
        <f t="shared" si="57"/>
        <v>44179</v>
      </c>
      <c r="AH231" s="413">
        <f>SUM(AG228:AG231)</f>
        <v>192112</v>
      </c>
    </row>
    <row r="232" spans="1:34">
      <c r="A232" s="352" t="s">
        <v>88</v>
      </c>
      <c r="B232" s="427">
        <v>2</v>
      </c>
      <c r="C232" s="220" t="s">
        <v>24</v>
      </c>
      <c r="D232" s="379" t="s">
        <v>572</v>
      </c>
      <c r="E232" s="414" t="s">
        <v>360</v>
      </c>
      <c r="F232" s="381"/>
      <c r="G232"/>
      <c r="H232"/>
      <c r="I232"/>
      <c r="J232" t="str">
        <f t="shared" si="47"/>
        <v>MO-Yes</v>
      </c>
      <c r="K232" t="str">
        <f t="shared" si="48"/>
        <v>MO-Yes</v>
      </c>
      <c r="L232" s="415"/>
      <c r="M232" s="415"/>
      <c r="N232" s="255">
        <v>2012</v>
      </c>
      <c r="O232" s="416">
        <v>75384</v>
      </c>
      <c r="P232" s="416"/>
      <c r="Q232" s="416">
        <v>148191</v>
      </c>
      <c r="R232" s="416"/>
      <c r="S232" s="416">
        <v>7542</v>
      </c>
      <c r="T232" s="353">
        <f t="shared" si="49"/>
        <v>231117</v>
      </c>
      <c r="U232" s="396"/>
      <c r="V232" s="221">
        <f t="shared" si="50"/>
        <v>148191</v>
      </c>
      <c r="W232" s="388">
        <f t="shared" si="59"/>
        <v>75384</v>
      </c>
      <c r="X232" s="222">
        <f t="shared" si="51"/>
        <v>0.32564911103656491</v>
      </c>
      <c r="Y232" s="421">
        <f t="shared" si="58"/>
        <v>0.3150222614519918</v>
      </c>
      <c r="Z232" s="223">
        <f t="shared" si="52"/>
        <v>0.64119471955762664</v>
      </c>
      <c r="AA232" s="224" t="str">
        <f t="shared" si="46"/>
        <v>MO-No</v>
      </c>
      <c r="AB232" s="225" t="str">
        <f t="shared" si="53"/>
        <v>MO-Rep</v>
      </c>
      <c r="AC232" s="422" t="str">
        <f>C232&amp;"-"&amp;IF(Y232&gt;Instructions!$H$14,Instructions!$I$14,IF(Y232&gt;Instructions!$H$15,Instructions!$I$15,IF(Y232&gt;Instructions!$H$16,Instructions!$I$16,IF(Y232&gt;Instructions!$H$17,Instructions!$I$17,Instructions!$I$18))))</f>
        <v>MO-Landslide</v>
      </c>
      <c r="AD232" s="226">
        <f t="shared" si="54"/>
        <v>75384</v>
      </c>
      <c r="AE232" s="226">
        <f t="shared" si="55"/>
        <v>0</v>
      </c>
      <c r="AF232" s="227">
        <f t="shared" si="56"/>
        <v>7542</v>
      </c>
      <c r="AG232" s="341">
        <f t="shared" si="57"/>
        <v>82926</v>
      </c>
    </row>
    <row r="233" spans="1:34">
      <c r="A233" s="352" t="s">
        <v>88</v>
      </c>
      <c r="B233" s="427">
        <v>3</v>
      </c>
      <c r="C233" s="220" t="s">
        <v>24</v>
      </c>
      <c r="D233" s="379" t="s">
        <v>573</v>
      </c>
      <c r="E233"/>
      <c r="F233"/>
      <c r="G233"/>
      <c r="H233"/>
      <c r="I233"/>
      <c r="J233" t="str">
        <f t="shared" si="47"/>
        <v>MO-Yes</v>
      </c>
      <c r="K233" t="str">
        <f t="shared" si="48"/>
        <v>MO-Yes</v>
      </c>
      <c r="L233" s="415"/>
      <c r="M233" s="415"/>
      <c r="N233" s="255">
        <v>2008</v>
      </c>
      <c r="O233" s="416">
        <v>52021</v>
      </c>
      <c r="P233" s="416"/>
      <c r="Q233" s="416">
        <v>130940</v>
      </c>
      <c r="R233" s="416"/>
      <c r="S233" s="416">
        <v>8659</v>
      </c>
      <c r="T233" s="353">
        <f t="shared" si="49"/>
        <v>191620</v>
      </c>
      <c r="U233" s="228"/>
      <c r="V233" s="221">
        <f t="shared" si="50"/>
        <v>130940</v>
      </c>
      <c r="W233" s="388">
        <f t="shared" si="59"/>
        <v>52021</v>
      </c>
      <c r="X233" s="222">
        <f t="shared" si="51"/>
        <v>0.43134329173976965</v>
      </c>
      <c r="Y233" s="421">
        <f t="shared" si="58"/>
        <v>0.41185158125456628</v>
      </c>
      <c r="Z233" s="223">
        <f t="shared" si="52"/>
        <v>0.68333159377935493</v>
      </c>
      <c r="AA233" s="224" t="str">
        <f t="shared" si="46"/>
        <v>MO-No</v>
      </c>
      <c r="AB233" s="225" t="str">
        <f t="shared" si="53"/>
        <v>MO-Rep</v>
      </c>
      <c r="AC233" s="422" t="str">
        <f>C233&amp;"-"&amp;IF(Y233&gt;Instructions!$H$14,Instructions!$I$14,IF(Y233&gt;Instructions!$H$15,Instructions!$I$15,IF(Y233&gt;Instructions!$H$16,Instructions!$I$16,IF(Y233&gt;Instructions!$H$17,Instructions!$I$17,Instructions!$I$18))))</f>
        <v>MO-No contest</v>
      </c>
      <c r="AD233" s="226">
        <f t="shared" si="54"/>
        <v>52021</v>
      </c>
      <c r="AE233" s="226">
        <f t="shared" si="55"/>
        <v>0</v>
      </c>
      <c r="AF233" s="227">
        <f t="shared" si="56"/>
        <v>8659</v>
      </c>
      <c r="AG233" s="341">
        <f t="shared" si="57"/>
        <v>60680</v>
      </c>
    </row>
    <row r="234" spans="1:34">
      <c r="A234" s="352" t="s">
        <v>88</v>
      </c>
      <c r="B234" s="427">
        <v>4</v>
      </c>
      <c r="C234" s="220" t="s">
        <v>24</v>
      </c>
      <c r="D234" s="379" t="s">
        <v>574</v>
      </c>
      <c r="E234" s="414" t="s">
        <v>360</v>
      </c>
      <c r="F234"/>
      <c r="G234"/>
      <c r="H234" s="379"/>
      <c r="I234"/>
      <c r="J234" t="str">
        <f t="shared" si="47"/>
        <v>MO-Yes</v>
      </c>
      <c r="K234" t="str">
        <f t="shared" si="48"/>
        <v>MO-Yes</v>
      </c>
      <c r="L234" s="415"/>
      <c r="M234" s="415"/>
      <c r="N234" s="255">
        <v>2010</v>
      </c>
      <c r="O234" s="416">
        <v>46464</v>
      </c>
      <c r="P234" s="416"/>
      <c r="Q234" s="416">
        <v>120014</v>
      </c>
      <c r="R234" s="416"/>
      <c r="S234" s="416">
        <v>9808</v>
      </c>
      <c r="T234" s="353">
        <f t="shared" si="49"/>
        <v>176286</v>
      </c>
      <c r="U234" s="228"/>
      <c r="V234" s="221">
        <f t="shared" si="50"/>
        <v>120014</v>
      </c>
      <c r="W234" s="388">
        <f t="shared" si="59"/>
        <v>46464</v>
      </c>
      <c r="X234" s="222">
        <f t="shared" si="51"/>
        <v>0.44180011773327404</v>
      </c>
      <c r="Y234" s="421">
        <f t="shared" si="58"/>
        <v>0.41721974518679872</v>
      </c>
      <c r="Z234" s="223">
        <f t="shared" si="52"/>
        <v>0.68079144118080848</v>
      </c>
      <c r="AA234" s="224" t="str">
        <f t="shared" si="46"/>
        <v>MO-No</v>
      </c>
      <c r="AB234" s="225" t="str">
        <f t="shared" si="53"/>
        <v>MO-Rep</v>
      </c>
      <c r="AC234" s="422" t="str">
        <f>C234&amp;"-"&amp;IF(Y234&gt;Instructions!$H$14,Instructions!$I$14,IF(Y234&gt;Instructions!$H$15,Instructions!$I$15,IF(Y234&gt;Instructions!$H$16,Instructions!$I$16,IF(Y234&gt;Instructions!$H$17,Instructions!$I$17,Instructions!$I$18))))</f>
        <v>MO-No contest</v>
      </c>
      <c r="AD234" s="226">
        <f t="shared" si="54"/>
        <v>46464</v>
      </c>
      <c r="AE234" s="226">
        <f t="shared" si="55"/>
        <v>0</v>
      </c>
      <c r="AF234" s="227">
        <f t="shared" si="56"/>
        <v>9808</v>
      </c>
      <c r="AG234" s="341">
        <f t="shared" si="57"/>
        <v>56272</v>
      </c>
    </row>
    <row r="235" spans="1:34">
      <c r="A235" s="352" t="s">
        <v>88</v>
      </c>
      <c r="B235" s="427">
        <v>5</v>
      </c>
      <c r="C235" s="220" t="s">
        <v>24</v>
      </c>
      <c r="D235" s="379" t="s">
        <v>575</v>
      </c>
      <c r="E235" s="381"/>
      <c r="F235" s="414" t="s">
        <v>360</v>
      </c>
      <c r="G235"/>
      <c r="H235" s="379"/>
      <c r="I235"/>
      <c r="J235" t="str">
        <f t="shared" si="47"/>
        <v>MO-Yes</v>
      </c>
      <c r="K235" t="str">
        <f t="shared" si="48"/>
        <v>MO-Yes</v>
      </c>
      <c r="L235" s="417"/>
      <c r="M235" s="417"/>
      <c r="N235" s="255">
        <v>2004</v>
      </c>
      <c r="O235" s="416">
        <v>79256</v>
      </c>
      <c r="P235" s="416"/>
      <c r="Q235" s="416">
        <v>69071</v>
      </c>
      <c r="R235" s="416"/>
      <c r="S235" s="416">
        <v>5308</v>
      </c>
      <c r="T235" s="353">
        <f t="shared" si="49"/>
        <v>153635</v>
      </c>
      <c r="U235" s="228"/>
      <c r="V235" s="221">
        <f t="shared" si="50"/>
        <v>79256</v>
      </c>
      <c r="W235" s="388">
        <f t="shared" si="59"/>
        <v>69071</v>
      </c>
      <c r="X235" s="222">
        <f t="shared" si="51"/>
        <v>6.8665853148786121E-2</v>
      </c>
      <c r="Y235" s="421">
        <f t="shared" si="58"/>
        <v>6.6293487812021934E-2</v>
      </c>
      <c r="Z235" s="223">
        <f t="shared" si="52"/>
        <v>0.51587203436716889</v>
      </c>
      <c r="AA235" s="224" t="str">
        <f t="shared" si="46"/>
        <v>MO-No</v>
      </c>
      <c r="AB235" s="225" t="str">
        <f t="shared" si="53"/>
        <v>MO-Dem</v>
      </c>
      <c r="AC235" s="422" t="str">
        <f>C235&amp;"-"&amp;IF(Y235&gt;Instructions!$H$14,Instructions!$I$14,IF(Y235&gt;Instructions!$H$15,Instructions!$I$15,IF(Y235&gt;Instructions!$H$16,Instructions!$I$16,IF(Y235&gt;Instructions!$H$17,Instructions!$I$17,Instructions!$I$18))))</f>
        <v>MO-Competitive</v>
      </c>
      <c r="AD235" s="226">
        <f t="shared" si="54"/>
        <v>0</v>
      </c>
      <c r="AE235" s="226">
        <f t="shared" si="55"/>
        <v>69071</v>
      </c>
      <c r="AF235" s="227">
        <f t="shared" si="56"/>
        <v>5308</v>
      </c>
      <c r="AG235" s="341">
        <f t="shared" si="57"/>
        <v>74379</v>
      </c>
      <c r="AH235" s="380"/>
    </row>
    <row r="236" spans="1:34">
      <c r="A236" s="352" t="s">
        <v>88</v>
      </c>
      <c r="B236" s="427">
        <v>6</v>
      </c>
      <c r="C236" s="220" t="s">
        <v>24</v>
      </c>
      <c r="D236" s="379" t="s">
        <v>576</v>
      </c>
      <c r="E236"/>
      <c r="F236" s="381"/>
      <c r="G236"/>
      <c r="H236"/>
      <c r="I236"/>
      <c r="J236" t="str">
        <f t="shared" si="47"/>
        <v>MO-Yes</v>
      </c>
      <c r="K236" t="str">
        <f t="shared" si="48"/>
        <v>MO-Yes</v>
      </c>
      <c r="L236" s="415"/>
      <c r="M236" s="415"/>
      <c r="N236" s="255">
        <v>2000</v>
      </c>
      <c r="O236" s="416">
        <v>55157</v>
      </c>
      <c r="P236" s="416"/>
      <c r="Q236" s="416">
        <v>124616</v>
      </c>
      <c r="R236" s="416"/>
      <c r="S236" s="416">
        <v>7197</v>
      </c>
      <c r="T236" s="353">
        <f t="shared" si="49"/>
        <v>186970</v>
      </c>
      <c r="U236" s="228"/>
      <c r="V236" s="221">
        <f t="shared" si="50"/>
        <v>124616</v>
      </c>
      <c r="W236" s="388">
        <f t="shared" si="59"/>
        <v>55157</v>
      </c>
      <c r="X236" s="222">
        <f t="shared" si="51"/>
        <v>0.38637058957685527</v>
      </c>
      <c r="Y236" s="421">
        <f t="shared" si="58"/>
        <v>0.3714981012996737</v>
      </c>
      <c r="Z236" s="223">
        <f t="shared" si="52"/>
        <v>0.66650264748355348</v>
      </c>
      <c r="AA236" s="224" t="str">
        <f t="shared" si="46"/>
        <v>MO-No</v>
      </c>
      <c r="AB236" s="225" t="str">
        <f t="shared" si="53"/>
        <v>MO-Rep</v>
      </c>
      <c r="AC236" s="422" t="str">
        <f>C236&amp;"-"&amp;IF(Y236&gt;Instructions!$H$14,Instructions!$I$14,IF(Y236&gt;Instructions!$H$15,Instructions!$I$15,IF(Y236&gt;Instructions!$H$16,Instructions!$I$16,IF(Y236&gt;Instructions!$H$17,Instructions!$I$17,Instructions!$I$18))))</f>
        <v>MO-Landslide</v>
      </c>
      <c r="AD236" s="226">
        <f t="shared" si="54"/>
        <v>55157</v>
      </c>
      <c r="AE236" s="226">
        <f t="shared" si="55"/>
        <v>0</v>
      </c>
      <c r="AF236" s="227">
        <f t="shared" si="56"/>
        <v>7197</v>
      </c>
      <c r="AG236" s="341">
        <f t="shared" si="57"/>
        <v>62354</v>
      </c>
      <c r="AH236" s="380"/>
    </row>
    <row r="237" spans="1:34">
      <c r="A237" s="352" t="s">
        <v>88</v>
      </c>
      <c r="B237" s="427">
        <v>7</v>
      </c>
      <c r="C237" s="220" t="s">
        <v>24</v>
      </c>
      <c r="D237" s="379" t="s">
        <v>577</v>
      </c>
      <c r="E237"/>
      <c r="F237" s="379"/>
      <c r="G237"/>
      <c r="H237"/>
      <c r="I237"/>
      <c r="J237" t="str">
        <f t="shared" si="47"/>
        <v>MO-Yes</v>
      </c>
      <c r="K237" t="str">
        <f t="shared" si="48"/>
        <v>MO-Yes</v>
      </c>
      <c r="L237" s="415"/>
      <c r="M237" s="415"/>
      <c r="N237" s="255">
        <v>2010</v>
      </c>
      <c r="O237" s="416">
        <v>47282</v>
      </c>
      <c r="P237" s="416"/>
      <c r="Q237" s="416">
        <v>104054</v>
      </c>
      <c r="R237" s="416"/>
      <c r="S237" s="416">
        <v>12621</v>
      </c>
      <c r="T237" s="353">
        <f t="shared" si="49"/>
        <v>163957</v>
      </c>
      <c r="U237" s="396"/>
      <c r="V237" s="221">
        <f t="shared" si="50"/>
        <v>104054</v>
      </c>
      <c r="W237" s="388">
        <f t="shared" si="59"/>
        <v>47282</v>
      </c>
      <c r="X237" s="222">
        <f t="shared" si="51"/>
        <v>0.37513876407464186</v>
      </c>
      <c r="Y237" s="421">
        <f t="shared" si="58"/>
        <v>0.3462615197887251</v>
      </c>
      <c r="Z237" s="223">
        <f t="shared" si="52"/>
        <v>0.63464200979525121</v>
      </c>
      <c r="AA237" s="224" t="str">
        <f t="shared" si="46"/>
        <v>MO-No</v>
      </c>
      <c r="AB237" s="225" t="str">
        <f t="shared" si="53"/>
        <v>MO-Rep</v>
      </c>
      <c r="AC237" s="422" t="str">
        <f>C237&amp;"-"&amp;IF(Y237&gt;Instructions!$H$14,Instructions!$I$14,IF(Y237&gt;Instructions!$H$15,Instructions!$I$15,IF(Y237&gt;Instructions!$H$16,Instructions!$I$16,IF(Y237&gt;Instructions!$H$17,Instructions!$I$17,Instructions!$I$18))))</f>
        <v>MO-Landslide</v>
      </c>
      <c r="AD237" s="226">
        <f t="shared" si="54"/>
        <v>47282</v>
      </c>
      <c r="AE237" s="226">
        <f t="shared" si="55"/>
        <v>0</v>
      </c>
      <c r="AF237" s="227">
        <f t="shared" si="56"/>
        <v>12621</v>
      </c>
      <c r="AG237" s="341">
        <f t="shared" si="57"/>
        <v>59903</v>
      </c>
    </row>
    <row r="238" spans="1:34">
      <c r="A238" s="352" t="s">
        <v>88</v>
      </c>
      <c r="B238" s="426">
        <v>8</v>
      </c>
      <c r="C238" s="220" t="s">
        <v>24</v>
      </c>
      <c r="D238" s="379" t="s">
        <v>798</v>
      </c>
      <c r="E238" s="425"/>
      <c r="F238" s="379"/>
      <c r="G238"/>
      <c r="H238"/>
      <c r="I238"/>
      <c r="J238" t="str">
        <f t="shared" si="47"/>
        <v>MO-Yes</v>
      </c>
      <c r="K238" t="str">
        <f t="shared" si="48"/>
        <v>MO-Yes</v>
      </c>
      <c r="L238" s="415"/>
      <c r="M238" s="415"/>
      <c r="N238" s="255">
        <v>2013</v>
      </c>
      <c r="O238" s="416">
        <v>38721</v>
      </c>
      <c r="P238" s="416"/>
      <c r="Q238" s="416">
        <v>106124</v>
      </c>
      <c r="R238" s="416"/>
      <c r="S238" s="416">
        <v>14379</v>
      </c>
      <c r="T238" s="353">
        <f t="shared" si="49"/>
        <v>159224</v>
      </c>
      <c r="U238" s="228"/>
      <c r="V238" s="221">
        <f t="shared" si="50"/>
        <v>106124</v>
      </c>
      <c r="W238" s="388">
        <f t="shared" si="59"/>
        <v>38721</v>
      </c>
      <c r="X238" s="222">
        <f t="shared" si="51"/>
        <v>0.46534571438434186</v>
      </c>
      <c r="Y238" s="421">
        <f t="shared" si="58"/>
        <v>0.42332186102597602</v>
      </c>
      <c r="Z238" s="223">
        <f t="shared" si="52"/>
        <v>0.66650756167411951</v>
      </c>
      <c r="AA238" s="224" t="str">
        <f t="shared" si="46"/>
        <v>MO-No</v>
      </c>
      <c r="AB238" s="225" t="str">
        <f t="shared" si="53"/>
        <v>MO-Rep</v>
      </c>
      <c r="AC238" s="422" t="str">
        <f>C238&amp;"-"&amp;IF(Y238&gt;Instructions!$H$14,Instructions!$I$14,IF(Y238&gt;Instructions!$H$15,Instructions!$I$15,IF(Y238&gt;Instructions!$H$16,Instructions!$I$16,IF(Y238&gt;Instructions!$H$17,Instructions!$I$17,Instructions!$I$18))))</f>
        <v>MO-No contest</v>
      </c>
      <c r="AD238" s="226">
        <f t="shared" si="54"/>
        <v>38721</v>
      </c>
      <c r="AE238" s="226">
        <f t="shared" si="55"/>
        <v>0</v>
      </c>
      <c r="AF238" s="227">
        <f t="shared" si="56"/>
        <v>14379</v>
      </c>
      <c r="AG238" s="341">
        <f t="shared" si="57"/>
        <v>53100</v>
      </c>
    </row>
    <row r="239" spans="1:34">
      <c r="A239" s="352" t="s">
        <v>89</v>
      </c>
      <c r="B239" s="427" t="s">
        <v>0</v>
      </c>
      <c r="C239" s="220" t="s">
        <v>25</v>
      </c>
      <c r="D239" s="379" t="s">
        <v>799</v>
      </c>
      <c r="E239" s="381"/>
      <c r="F239" s="379"/>
      <c r="G239"/>
      <c r="H239"/>
      <c r="I239"/>
      <c r="J239" t="str">
        <f t="shared" si="47"/>
        <v>MT-No</v>
      </c>
      <c r="K239" t="str">
        <f t="shared" si="48"/>
        <v>MT-No</v>
      </c>
      <c r="L239" s="415">
        <v>0</v>
      </c>
      <c r="M239" s="415"/>
      <c r="N239" s="255">
        <v>2014</v>
      </c>
      <c r="O239" s="416">
        <v>148690</v>
      </c>
      <c r="P239" s="416"/>
      <c r="Q239" s="416">
        <v>203871</v>
      </c>
      <c r="R239" s="416"/>
      <c r="S239" s="416">
        <v>15402</v>
      </c>
      <c r="T239" s="353">
        <f t="shared" si="49"/>
        <v>367963</v>
      </c>
      <c r="U239" s="396"/>
      <c r="V239" s="221">
        <f t="shared" si="50"/>
        <v>203871</v>
      </c>
      <c r="W239" s="388">
        <f t="shared" si="59"/>
        <v>148690</v>
      </c>
      <c r="X239" s="222">
        <f t="shared" si="51"/>
        <v>0.15651475914806232</v>
      </c>
      <c r="Y239" s="421">
        <f t="shared" si="58"/>
        <v>0.14996344741183215</v>
      </c>
      <c r="Z239" s="223">
        <f t="shared" si="52"/>
        <v>0.55405298902335287</v>
      </c>
      <c r="AA239" s="224" t="str">
        <f t="shared" si="46"/>
        <v>MT-No</v>
      </c>
      <c r="AB239" s="225" t="str">
        <f t="shared" si="53"/>
        <v>MT-Rep</v>
      </c>
      <c r="AC239" s="422" t="str">
        <f>C239&amp;"-"&amp;IF(Y239&gt;Instructions!$H$14,Instructions!$I$14,IF(Y239&gt;Instructions!$H$15,Instructions!$I$15,IF(Y239&gt;Instructions!$H$16,Instructions!$I$16,IF(Y239&gt;Instructions!$H$17,Instructions!$I$17,Instructions!$I$18))))</f>
        <v>MT-Opportunity</v>
      </c>
      <c r="AD239" s="226">
        <f t="shared" si="54"/>
        <v>148690</v>
      </c>
      <c r="AE239" s="226">
        <f t="shared" si="55"/>
        <v>0</v>
      </c>
      <c r="AF239" s="227">
        <f t="shared" si="56"/>
        <v>15402</v>
      </c>
      <c r="AG239" s="341">
        <f t="shared" si="57"/>
        <v>164092</v>
      </c>
    </row>
    <row r="240" spans="1:34">
      <c r="A240" s="352" t="s">
        <v>90</v>
      </c>
      <c r="B240" s="427">
        <v>1</v>
      </c>
      <c r="C240" s="220" t="s">
        <v>26</v>
      </c>
      <c r="D240" s="379" t="s">
        <v>578</v>
      </c>
      <c r="E240" s="379"/>
      <c r="F240" s="379"/>
      <c r="G240"/>
      <c r="H240"/>
      <c r="I240"/>
      <c r="J240" t="str">
        <f t="shared" si="47"/>
        <v>NE-Yes</v>
      </c>
      <c r="K240" t="str">
        <f t="shared" si="48"/>
        <v>NE-Yes</v>
      </c>
      <c r="L240" s="415"/>
      <c r="M240" s="415"/>
      <c r="N240" s="255">
        <v>2004</v>
      </c>
      <c r="O240" s="416">
        <v>55838</v>
      </c>
      <c r="P240" s="416"/>
      <c r="Q240" s="416">
        <v>123219</v>
      </c>
      <c r="R240" s="416"/>
      <c r="S240" s="416">
        <v>0</v>
      </c>
      <c r="T240" s="353">
        <f t="shared" si="49"/>
        <v>179057</v>
      </c>
      <c r="U240" s="228"/>
      <c r="V240" s="221">
        <f t="shared" si="50"/>
        <v>123219</v>
      </c>
      <c r="W240" s="388">
        <f t="shared" si="59"/>
        <v>55838</v>
      </c>
      <c r="X240" s="222">
        <f t="shared" si="51"/>
        <v>0.37631033693181498</v>
      </c>
      <c r="Y240" s="421">
        <f t="shared" si="58"/>
        <v>0.37631033693181504</v>
      </c>
      <c r="Z240" s="223">
        <f t="shared" si="52"/>
        <v>0.68815516846590752</v>
      </c>
      <c r="AA240" s="224" t="str">
        <f t="shared" si="46"/>
        <v>NE-No</v>
      </c>
      <c r="AB240" s="225" t="str">
        <f t="shared" si="53"/>
        <v>NE-Rep</v>
      </c>
      <c r="AC240" s="422" t="str">
        <f>C240&amp;"-"&amp;IF(Y240&gt;Instructions!$H$14,Instructions!$I$14,IF(Y240&gt;Instructions!$H$15,Instructions!$I$15,IF(Y240&gt;Instructions!$H$16,Instructions!$I$16,IF(Y240&gt;Instructions!$H$17,Instructions!$I$17,Instructions!$I$18))))</f>
        <v>NE-Landslide</v>
      </c>
      <c r="AD240" s="226">
        <f t="shared" si="54"/>
        <v>55838</v>
      </c>
      <c r="AE240" s="226">
        <f t="shared" si="55"/>
        <v>0</v>
      </c>
      <c r="AF240" s="227">
        <f t="shared" si="56"/>
        <v>0</v>
      </c>
      <c r="AG240" s="341">
        <f t="shared" si="57"/>
        <v>55838</v>
      </c>
      <c r="AH240" s="413">
        <f>SUM(AG232:AG240)</f>
        <v>669544</v>
      </c>
    </row>
    <row r="241" spans="1:34">
      <c r="A241" s="352" t="s">
        <v>90</v>
      </c>
      <c r="B241" s="427">
        <v>2</v>
      </c>
      <c r="C241" s="220" t="s">
        <v>26</v>
      </c>
      <c r="D241" s="379" t="s">
        <v>800</v>
      </c>
      <c r="E241" s="379"/>
      <c r="F241" s="379"/>
      <c r="G241"/>
      <c r="H241"/>
      <c r="I241"/>
      <c r="J241" t="str">
        <f t="shared" si="47"/>
        <v>NE-Yes</v>
      </c>
      <c r="K241" t="str">
        <f t="shared" si="48"/>
        <v>NE-No</v>
      </c>
      <c r="L241" s="352">
        <v>1</v>
      </c>
      <c r="M241" s="352">
        <v>1</v>
      </c>
      <c r="N241" s="255">
        <v>2014</v>
      </c>
      <c r="O241" s="416">
        <v>83872</v>
      </c>
      <c r="P241" s="416"/>
      <c r="Q241" s="416">
        <v>78157</v>
      </c>
      <c r="R241" s="416"/>
      <c r="S241" s="416">
        <v>9021</v>
      </c>
      <c r="T241" s="353">
        <f t="shared" si="49"/>
        <v>171050</v>
      </c>
      <c r="U241" s="228"/>
      <c r="V241" s="221">
        <f t="shared" si="50"/>
        <v>83872</v>
      </c>
      <c r="W241" s="388">
        <f t="shared" si="59"/>
        <v>78157</v>
      </c>
      <c r="X241" s="222">
        <f t="shared" si="51"/>
        <v>3.5271463750316298E-2</v>
      </c>
      <c r="Y241" s="421">
        <f t="shared" si="58"/>
        <v>3.341128325051157E-2</v>
      </c>
      <c r="Z241" s="223">
        <f t="shared" si="52"/>
        <v>0.49033615901783106</v>
      </c>
      <c r="AA241" s="224" t="str">
        <f t="shared" si="46"/>
        <v>NE-No</v>
      </c>
      <c r="AB241" s="225" t="str">
        <f t="shared" si="53"/>
        <v>NE-Dem</v>
      </c>
      <c r="AC241" s="422" t="str">
        <f>C241&amp;"-"&amp;IF(Y241&gt;Instructions!$H$14,Instructions!$I$14,IF(Y241&gt;Instructions!$H$15,Instructions!$I$15,IF(Y241&gt;Instructions!$H$16,Instructions!$I$16,IF(Y241&gt;Instructions!$H$17,Instructions!$I$17,Instructions!$I$18))))</f>
        <v>NE-Tight</v>
      </c>
      <c r="AD241" s="226">
        <f t="shared" si="54"/>
        <v>0</v>
      </c>
      <c r="AE241" s="226">
        <f t="shared" si="55"/>
        <v>78157</v>
      </c>
      <c r="AF241" s="227">
        <f t="shared" si="56"/>
        <v>9021</v>
      </c>
      <c r="AG241" s="341">
        <f t="shared" si="57"/>
        <v>87178</v>
      </c>
      <c r="AH241" s="413">
        <f>SUM(AG241)</f>
        <v>87178</v>
      </c>
    </row>
    <row r="242" spans="1:34">
      <c r="A242" s="352" t="s">
        <v>90</v>
      </c>
      <c r="B242" s="427">
        <v>3</v>
      </c>
      <c r="C242" s="220" t="s">
        <v>26</v>
      </c>
      <c r="D242" s="379" t="s">
        <v>579</v>
      </c>
      <c r="E242"/>
      <c r="F242"/>
      <c r="G242"/>
      <c r="H242"/>
      <c r="I242"/>
      <c r="J242" t="str">
        <f t="shared" si="47"/>
        <v>NE-Yes</v>
      </c>
      <c r="K242" t="str">
        <f t="shared" si="48"/>
        <v>NE-Yes</v>
      </c>
      <c r="L242" s="352"/>
      <c r="M242" s="352"/>
      <c r="N242" s="255">
        <v>2006</v>
      </c>
      <c r="O242" s="416">
        <v>45524</v>
      </c>
      <c r="P242" s="416"/>
      <c r="Q242" s="416">
        <v>139440</v>
      </c>
      <c r="R242" s="416"/>
      <c r="S242" s="416">
        <v>0</v>
      </c>
      <c r="T242" s="353">
        <f t="shared" si="49"/>
        <v>184964</v>
      </c>
      <c r="U242" s="396"/>
      <c r="V242" s="221">
        <f t="shared" si="50"/>
        <v>139440</v>
      </c>
      <c r="W242" s="388">
        <f t="shared" si="59"/>
        <v>45524</v>
      </c>
      <c r="X242" s="222">
        <f t="shared" si="51"/>
        <v>0.50775286001600306</v>
      </c>
      <c r="Y242" s="421">
        <f t="shared" si="58"/>
        <v>0.50775286001600306</v>
      </c>
      <c r="Z242" s="223">
        <f t="shared" si="52"/>
        <v>0.75387643000800153</v>
      </c>
      <c r="AA242" s="224" t="str">
        <f t="shared" si="46"/>
        <v>NE-No</v>
      </c>
      <c r="AB242" s="225" t="str">
        <f t="shared" si="53"/>
        <v>NE-Rep</v>
      </c>
      <c r="AC242" s="422" t="str">
        <f>C242&amp;"-"&amp;IF(Y242&gt;Instructions!$H$14,Instructions!$I$14,IF(Y242&gt;Instructions!$H$15,Instructions!$I$15,IF(Y242&gt;Instructions!$H$16,Instructions!$I$16,IF(Y242&gt;Instructions!$H$17,Instructions!$I$17,Instructions!$I$18))))</f>
        <v>NE-No contest</v>
      </c>
      <c r="AD242" s="226">
        <f t="shared" si="54"/>
        <v>45524</v>
      </c>
      <c r="AE242" s="226">
        <f t="shared" si="55"/>
        <v>0</v>
      </c>
      <c r="AF242" s="227">
        <f t="shared" si="56"/>
        <v>0</v>
      </c>
      <c r="AG242" s="341">
        <f t="shared" si="57"/>
        <v>45524</v>
      </c>
    </row>
    <row r="243" spans="1:34">
      <c r="A243" s="352" t="s">
        <v>91</v>
      </c>
      <c r="B243" s="427">
        <v>1</v>
      </c>
      <c r="C243" s="220" t="s">
        <v>27</v>
      </c>
      <c r="D243" s="379" t="s">
        <v>580</v>
      </c>
      <c r="E243" s="414" t="s">
        <v>361</v>
      </c>
      <c r="F243"/>
      <c r="G243"/>
      <c r="H243"/>
      <c r="I243"/>
      <c r="J243" t="str">
        <f t="shared" si="47"/>
        <v>NV-Yes</v>
      </c>
      <c r="K243" t="str">
        <f t="shared" si="48"/>
        <v>NV-Yes</v>
      </c>
      <c r="L243" s="417"/>
      <c r="M243" s="417"/>
      <c r="N243" s="255">
        <v>2012</v>
      </c>
      <c r="O243" s="416">
        <v>45643</v>
      </c>
      <c r="P243" s="416"/>
      <c r="Q243" s="416">
        <v>30413</v>
      </c>
      <c r="R243" s="416"/>
      <c r="S243" s="416">
        <v>4243</v>
      </c>
      <c r="T243" s="353">
        <f t="shared" si="49"/>
        <v>80299</v>
      </c>
      <c r="U243" s="228"/>
      <c r="V243" s="221">
        <f t="shared" si="50"/>
        <v>45643</v>
      </c>
      <c r="W243" s="388">
        <f t="shared" si="59"/>
        <v>30413</v>
      </c>
      <c r="X243" s="222">
        <f t="shared" si="51"/>
        <v>0.2002471862837909</v>
      </c>
      <c r="Y243" s="421">
        <f t="shared" si="58"/>
        <v>0.18966612286578916</v>
      </c>
      <c r="Z243" s="223">
        <f t="shared" si="52"/>
        <v>0.56841305620244342</v>
      </c>
      <c r="AA243" s="224" t="str">
        <f t="shared" si="46"/>
        <v>NV-No</v>
      </c>
      <c r="AB243" s="225" t="str">
        <f t="shared" si="53"/>
        <v>NV-Dem</v>
      </c>
      <c r="AC243" s="422" t="str">
        <f>C243&amp;"-"&amp;IF(Y243&gt;Instructions!$H$14,Instructions!$I$14,IF(Y243&gt;Instructions!$H$15,Instructions!$I$15,IF(Y243&gt;Instructions!$H$16,Instructions!$I$16,IF(Y243&gt;Instructions!$H$17,Instructions!$I$17,Instructions!$I$18))))</f>
        <v>NV-Opportunity</v>
      </c>
      <c r="AD243" s="226">
        <f t="shared" si="54"/>
        <v>0</v>
      </c>
      <c r="AE243" s="226">
        <f t="shared" si="55"/>
        <v>30413</v>
      </c>
      <c r="AF243" s="227">
        <f t="shared" si="56"/>
        <v>4243</v>
      </c>
      <c r="AG243" s="341">
        <f t="shared" si="57"/>
        <v>34656</v>
      </c>
    </row>
    <row r="244" spans="1:34">
      <c r="A244" s="352" t="s">
        <v>91</v>
      </c>
      <c r="B244" s="427">
        <v>2</v>
      </c>
      <c r="C244" s="220" t="s">
        <v>27</v>
      </c>
      <c r="D244" s="379" t="s">
        <v>581</v>
      </c>
      <c r="E244"/>
      <c r="F244" s="379"/>
      <c r="G244"/>
      <c r="H244" s="379"/>
      <c r="I244"/>
      <c r="J244" t="str">
        <f t="shared" si="47"/>
        <v>NV-Yes</v>
      </c>
      <c r="K244" t="str">
        <f t="shared" si="48"/>
        <v>NV-Yes</v>
      </c>
      <c r="L244" s="415"/>
      <c r="M244" s="415"/>
      <c r="N244" s="255">
        <v>2011</v>
      </c>
      <c r="O244" s="416">
        <v>52016</v>
      </c>
      <c r="P244" s="416"/>
      <c r="Q244" s="416">
        <v>122402</v>
      </c>
      <c r="R244" s="416"/>
      <c r="S244" s="416">
        <v>11792</v>
      </c>
      <c r="T244" s="353">
        <f t="shared" si="49"/>
        <v>186210</v>
      </c>
      <c r="U244" s="228"/>
      <c r="V244" s="221">
        <f t="shared" si="50"/>
        <v>122402</v>
      </c>
      <c r="W244" s="388">
        <f t="shared" si="59"/>
        <v>52016</v>
      </c>
      <c r="X244" s="222">
        <f t="shared" si="51"/>
        <v>0.40354779896570309</v>
      </c>
      <c r="Y244" s="421">
        <f t="shared" si="58"/>
        <v>0.3779925890124054</v>
      </c>
      <c r="Z244" s="223">
        <f t="shared" si="52"/>
        <v>0.65733311852209875</v>
      </c>
      <c r="AA244" s="224" t="str">
        <f t="shared" si="46"/>
        <v>NV-No</v>
      </c>
      <c r="AB244" s="225" t="str">
        <f t="shared" si="53"/>
        <v>NV-Rep</v>
      </c>
      <c r="AC244" s="422" t="str">
        <f>C244&amp;"-"&amp;IF(Y244&gt;Instructions!$H$14,Instructions!$I$14,IF(Y244&gt;Instructions!$H$15,Instructions!$I$15,IF(Y244&gt;Instructions!$H$16,Instructions!$I$16,IF(Y244&gt;Instructions!$H$17,Instructions!$I$17,Instructions!$I$18))))</f>
        <v>NV-Landslide</v>
      </c>
      <c r="AD244" s="226">
        <f t="shared" si="54"/>
        <v>52016</v>
      </c>
      <c r="AE244" s="226">
        <f t="shared" si="55"/>
        <v>0</v>
      </c>
      <c r="AF244" s="227">
        <f t="shared" si="56"/>
        <v>11792</v>
      </c>
      <c r="AG244" s="341">
        <f t="shared" si="57"/>
        <v>63808</v>
      </c>
      <c r="AH244" s="413">
        <f>SUM(AG242:AG244)</f>
        <v>143988</v>
      </c>
    </row>
    <row r="245" spans="1:34">
      <c r="A245" s="352" t="s">
        <v>91</v>
      </c>
      <c r="B245" s="427">
        <v>3</v>
      </c>
      <c r="C245" s="220" t="s">
        <v>27</v>
      </c>
      <c r="D245" s="379" t="s">
        <v>582</v>
      </c>
      <c r="E245" s="381"/>
      <c r="F245" s="379"/>
      <c r="G245"/>
      <c r="H245" s="379"/>
      <c r="I245"/>
      <c r="J245" t="str">
        <f t="shared" si="47"/>
        <v>NV-Yes</v>
      </c>
      <c r="K245" t="str">
        <f t="shared" si="48"/>
        <v>NV-Yes</v>
      </c>
      <c r="L245" s="415"/>
      <c r="M245" s="415"/>
      <c r="N245" s="255">
        <v>2010</v>
      </c>
      <c r="O245" s="416">
        <v>52644</v>
      </c>
      <c r="P245" s="416"/>
      <c r="Q245" s="416">
        <v>88528</v>
      </c>
      <c r="R245" s="416"/>
      <c r="S245" s="416">
        <v>4547</v>
      </c>
      <c r="T245" s="353">
        <f t="shared" si="49"/>
        <v>145719</v>
      </c>
      <c r="U245" s="228"/>
      <c r="V245" s="221">
        <f t="shared" si="50"/>
        <v>88528</v>
      </c>
      <c r="W245" s="388">
        <f t="shared" si="59"/>
        <v>52644</v>
      </c>
      <c r="X245" s="222">
        <f t="shared" si="51"/>
        <v>0.25418638256878134</v>
      </c>
      <c r="Y245" s="421">
        <f t="shared" si="58"/>
        <v>0.24625477803169116</v>
      </c>
      <c r="Z245" s="223">
        <f t="shared" si="52"/>
        <v>0.60752544280430143</v>
      </c>
      <c r="AA245" s="224" t="str">
        <f t="shared" si="46"/>
        <v>NV-No</v>
      </c>
      <c r="AB245" s="225" t="str">
        <f t="shared" si="53"/>
        <v>NV-Rep</v>
      </c>
      <c r="AC245" s="422" t="str">
        <f>C245&amp;"-"&amp;IF(Y245&gt;Instructions!$H$14,Instructions!$I$14,IF(Y245&gt;Instructions!$H$15,Instructions!$I$15,IF(Y245&gt;Instructions!$H$16,Instructions!$I$16,IF(Y245&gt;Instructions!$H$17,Instructions!$I$17,Instructions!$I$18))))</f>
        <v>NV-Landslide</v>
      </c>
      <c r="AD245" s="226">
        <f t="shared" si="54"/>
        <v>52644</v>
      </c>
      <c r="AE245" s="226">
        <f t="shared" si="55"/>
        <v>0</v>
      </c>
      <c r="AF245" s="227">
        <f t="shared" si="56"/>
        <v>4547</v>
      </c>
      <c r="AG245" s="341">
        <f t="shared" si="57"/>
        <v>57191</v>
      </c>
      <c r="AH245" s="380"/>
    </row>
    <row r="246" spans="1:34">
      <c r="A246" s="352" t="s">
        <v>91</v>
      </c>
      <c r="B246" s="427">
        <v>4</v>
      </c>
      <c r="C246" s="220" t="s">
        <v>27</v>
      </c>
      <c r="D246" s="379" t="s">
        <v>801</v>
      </c>
      <c r="E246" s="381"/>
      <c r="F246" s="414"/>
      <c r="G246"/>
      <c r="H246"/>
      <c r="I246"/>
      <c r="J246" t="str">
        <f t="shared" si="47"/>
        <v>NV-Yes</v>
      </c>
      <c r="K246" t="str">
        <f t="shared" si="48"/>
        <v>NV-No</v>
      </c>
      <c r="L246" s="417">
        <v>1</v>
      </c>
      <c r="M246" s="417">
        <v>1</v>
      </c>
      <c r="N246" s="255">
        <v>2014</v>
      </c>
      <c r="O246" s="416">
        <v>59844</v>
      </c>
      <c r="P246" s="416"/>
      <c r="Q246" s="416">
        <v>63466</v>
      </c>
      <c r="R246" s="416"/>
      <c r="S246" s="416">
        <v>7471</v>
      </c>
      <c r="T246" s="353">
        <f t="shared" si="49"/>
        <v>130781</v>
      </c>
      <c r="U246" s="396"/>
      <c r="V246" s="221">
        <f t="shared" si="50"/>
        <v>63466</v>
      </c>
      <c r="W246" s="388">
        <f t="shared" si="59"/>
        <v>59844</v>
      </c>
      <c r="X246" s="222">
        <f t="shared" si="51"/>
        <v>2.9373124645203145E-2</v>
      </c>
      <c r="Y246" s="421">
        <f t="shared" si="58"/>
        <v>2.7695154494918994E-2</v>
      </c>
      <c r="Z246" s="223">
        <f t="shared" si="52"/>
        <v>0.48528455968374612</v>
      </c>
      <c r="AA246" s="224" t="str">
        <f t="shared" si="46"/>
        <v>NV-No</v>
      </c>
      <c r="AB246" s="225" t="str">
        <f t="shared" si="53"/>
        <v>NV-Rep</v>
      </c>
      <c r="AC246" s="422" t="str">
        <f>C246&amp;"-"&amp;IF(Y246&gt;Instructions!$H$14,Instructions!$I$14,IF(Y246&gt;Instructions!$H$15,Instructions!$I$15,IF(Y246&gt;Instructions!$H$16,Instructions!$I$16,IF(Y246&gt;Instructions!$H$17,Instructions!$I$17,Instructions!$I$18))))</f>
        <v>NV-Tight</v>
      </c>
      <c r="AD246" s="226">
        <f t="shared" si="54"/>
        <v>59844</v>
      </c>
      <c r="AE246" s="226">
        <f t="shared" si="55"/>
        <v>0</v>
      </c>
      <c r="AF246" s="227">
        <f t="shared" si="56"/>
        <v>7471</v>
      </c>
      <c r="AG246" s="341">
        <f t="shared" si="57"/>
        <v>67315</v>
      </c>
    </row>
    <row r="247" spans="1:34">
      <c r="A247" s="352" t="s">
        <v>92</v>
      </c>
      <c r="B247" s="427">
        <v>1</v>
      </c>
      <c r="C247" s="220" t="s">
        <v>28</v>
      </c>
      <c r="D247" s="379" t="s">
        <v>802</v>
      </c>
      <c r="E247"/>
      <c r="F247"/>
      <c r="G247"/>
      <c r="H247"/>
      <c r="I247"/>
      <c r="J247" t="str">
        <f t="shared" si="47"/>
        <v>NH-Yes</v>
      </c>
      <c r="K247" t="str">
        <f t="shared" si="48"/>
        <v>NH-No</v>
      </c>
      <c r="L247" s="417">
        <v>1</v>
      </c>
      <c r="M247" s="417">
        <v>1</v>
      </c>
      <c r="N247" s="255">
        <v>2014</v>
      </c>
      <c r="O247" s="416">
        <v>116769</v>
      </c>
      <c r="P247" s="416"/>
      <c r="Q247" s="416">
        <v>125508</v>
      </c>
      <c r="R247" s="416"/>
      <c r="S247" s="416">
        <v>459</v>
      </c>
      <c r="T247" s="353">
        <f t="shared" si="49"/>
        <v>242736</v>
      </c>
      <c r="U247" s="228"/>
      <c r="V247" s="221">
        <f t="shared" si="50"/>
        <v>125508</v>
      </c>
      <c r="W247" s="388">
        <f t="shared" si="59"/>
        <v>116769</v>
      </c>
      <c r="X247" s="222">
        <f t="shared" si="51"/>
        <v>3.6070283188251465E-2</v>
      </c>
      <c r="Y247" s="421">
        <f t="shared" si="58"/>
        <v>3.6002076329839816E-2</v>
      </c>
      <c r="Z247" s="223">
        <f t="shared" si="52"/>
        <v>0.5170555665414277</v>
      </c>
      <c r="AA247" s="224" t="str">
        <f t="shared" si="46"/>
        <v>NH-No</v>
      </c>
      <c r="AB247" s="225" t="str">
        <f t="shared" si="53"/>
        <v>NH-Rep</v>
      </c>
      <c r="AC247" s="422" t="str">
        <f>C247&amp;"-"&amp;IF(Y247&gt;Instructions!$H$14,Instructions!$I$14,IF(Y247&gt;Instructions!$H$15,Instructions!$I$15,IF(Y247&gt;Instructions!$H$16,Instructions!$I$16,IF(Y247&gt;Instructions!$H$17,Instructions!$I$17,Instructions!$I$18))))</f>
        <v>NH-Tight</v>
      </c>
      <c r="AD247" s="226">
        <f t="shared" si="54"/>
        <v>116769</v>
      </c>
      <c r="AE247" s="226">
        <f t="shared" si="55"/>
        <v>0</v>
      </c>
      <c r="AF247" s="227">
        <f t="shared" si="56"/>
        <v>459</v>
      </c>
      <c r="AG247" s="341">
        <f t="shared" si="57"/>
        <v>117228</v>
      </c>
      <c r="AH247" s="413">
        <f>SUM(AG245:AG247)</f>
        <v>241734</v>
      </c>
    </row>
    <row r="248" spans="1:34">
      <c r="A248" s="352" t="s">
        <v>92</v>
      </c>
      <c r="B248" s="427">
        <v>2</v>
      </c>
      <c r="C248" s="220" t="s">
        <v>28</v>
      </c>
      <c r="D248" s="379" t="s">
        <v>583</v>
      </c>
      <c r="E248" t="s">
        <v>754</v>
      </c>
      <c r="F248"/>
      <c r="G248"/>
      <c r="H248"/>
      <c r="I248"/>
      <c r="J248" t="str">
        <f t="shared" si="47"/>
        <v>NH-Yes</v>
      </c>
      <c r="K248" t="str">
        <f t="shared" si="48"/>
        <v>NH-Yes</v>
      </c>
      <c r="L248" s="417"/>
      <c r="M248" s="417"/>
      <c r="N248" s="255">
        <v>2012</v>
      </c>
      <c r="O248" s="416">
        <v>130679</v>
      </c>
      <c r="P248" s="416"/>
      <c r="Q248" s="416">
        <v>106857</v>
      </c>
      <c r="R248" s="416"/>
      <c r="S248" s="416">
        <v>613</v>
      </c>
      <c r="T248" s="353">
        <f t="shared" si="49"/>
        <v>238149</v>
      </c>
      <c r="U248" s="228"/>
      <c r="V248" s="221">
        <f t="shared" si="50"/>
        <v>130679</v>
      </c>
      <c r="W248" s="388">
        <f t="shared" si="59"/>
        <v>106857</v>
      </c>
      <c r="X248" s="222">
        <f t="shared" si="51"/>
        <v>0.1002879563518793</v>
      </c>
      <c r="Y248" s="421">
        <f t="shared" si="58"/>
        <v>0.10002981326816407</v>
      </c>
      <c r="Z248" s="223">
        <f t="shared" si="52"/>
        <v>0.54872789724080306</v>
      </c>
      <c r="AA248" s="224" t="str">
        <f t="shared" si="46"/>
        <v>NH-No</v>
      </c>
      <c r="AB248" s="225" t="str">
        <f t="shared" si="53"/>
        <v>NH-Dem</v>
      </c>
      <c r="AC248" s="422" t="str">
        <f>C248&amp;"-"&amp;IF(Y248&gt;Instructions!$H$14,Instructions!$I$14,IF(Y248&gt;Instructions!$H$15,Instructions!$I$15,IF(Y248&gt;Instructions!$H$16,Instructions!$I$16,IF(Y248&gt;Instructions!$H$17,Instructions!$I$17,Instructions!$I$18))))</f>
        <v>NH-Opportunity</v>
      </c>
      <c r="AD248" s="226">
        <f t="shared" si="54"/>
        <v>0</v>
      </c>
      <c r="AE248" s="226">
        <f t="shared" si="55"/>
        <v>106857</v>
      </c>
      <c r="AF248" s="227">
        <f t="shared" si="56"/>
        <v>613</v>
      </c>
      <c r="AG248" s="341">
        <f t="shared" si="57"/>
        <v>107470</v>
      </c>
    </row>
    <row r="249" spans="1:34">
      <c r="A249" s="352" t="s">
        <v>93</v>
      </c>
      <c r="B249" s="427">
        <v>1</v>
      </c>
      <c r="C249" s="220" t="s">
        <v>29</v>
      </c>
      <c r="D249" s="379" t="s">
        <v>803</v>
      </c>
      <c r="E249"/>
      <c r="F249"/>
      <c r="G249"/>
      <c r="H249"/>
      <c r="I249"/>
      <c r="J249" t="str">
        <f t="shared" si="47"/>
        <v>NJ-No</v>
      </c>
      <c r="K249" t="str">
        <f t="shared" si="48"/>
        <v>NJ-No</v>
      </c>
      <c r="L249" s="415">
        <v>0</v>
      </c>
      <c r="M249" s="417"/>
      <c r="N249" s="255">
        <v>2014</v>
      </c>
      <c r="O249" s="416">
        <v>93315</v>
      </c>
      <c r="P249" s="416"/>
      <c r="Q249" s="416">
        <v>64073</v>
      </c>
      <c r="R249" s="416"/>
      <c r="S249" s="416">
        <v>5104</v>
      </c>
      <c r="T249" s="353">
        <f t="shared" si="49"/>
        <v>162492</v>
      </c>
      <c r="U249" s="228"/>
      <c r="V249" s="221">
        <f t="shared" si="50"/>
        <v>93315</v>
      </c>
      <c r="W249" s="388">
        <f t="shared" si="59"/>
        <v>64073</v>
      </c>
      <c r="X249" s="222">
        <f t="shared" si="51"/>
        <v>0.18579561338856837</v>
      </c>
      <c r="Y249" s="421">
        <f t="shared" si="58"/>
        <v>0.17995962878172467</v>
      </c>
      <c r="Z249" s="223">
        <f t="shared" si="52"/>
        <v>0.57427442581788646</v>
      </c>
      <c r="AA249" s="224" t="str">
        <f t="shared" ref="AA249:AA312" si="60">C249&amp;"-"&amp;IF(O249*Q249=0,"Yes","No")</f>
        <v>NJ-No</v>
      </c>
      <c r="AB249" s="225" t="str">
        <f t="shared" si="53"/>
        <v>NJ-Dem</v>
      </c>
      <c r="AC249" s="422" t="str">
        <f>C249&amp;"-"&amp;IF(Y249&gt;Instructions!$H$14,Instructions!$I$14,IF(Y249&gt;Instructions!$H$15,Instructions!$I$15,IF(Y249&gt;Instructions!$H$16,Instructions!$I$16,IF(Y249&gt;Instructions!$H$17,Instructions!$I$17,Instructions!$I$18))))</f>
        <v>NJ-Opportunity</v>
      </c>
      <c r="AD249" s="226">
        <f t="shared" si="54"/>
        <v>0</v>
      </c>
      <c r="AE249" s="226">
        <f t="shared" si="55"/>
        <v>64073</v>
      </c>
      <c r="AF249" s="227">
        <f t="shared" si="56"/>
        <v>5104</v>
      </c>
      <c r="AG249" s="341">
        <f t="shared" si="57"/>
        <v>69177</v>
      </c>
      <c r="AH249" s="413">
        <f>SUM(AG248:AG249)</f>
        <v>176647</v>
      </c>
    </row>
    <row r="250" spans="1:34">
      <c r="A250" s="352" t="s">
        <v>93</v>
      </c>
      <c r="B250" s="427">
        <v>2</v>
      </c>
      <c r="C250" s="220" t="s">
        <v>29</v>
      </c>
      <c r="D250" s="379" t="s">
        <v>584</v>
      </c>
      <c r="E250"/>
      <c r="F250" s="379"/>
      <c r="G250"/>
      <c r="H250" s="379"/>
      <c r="I250"/>
      <c r="J250" t="str">
        <f t="shared" si="47"/>
        <v>NJ-Yes</v>
      </c>
      <c r="K250" t="str">
        <f t="shared" si="48"/>
        <v>NJ-Yes</v>
      </c>
      <c r="L250" s="415"/>
      <c r="M250" s="415"/>
      <c r="N250" s="255">
        <v>1994</v>
      </c>
      <c r="O250" s="416">
        <v>66026</v>
      </c>
      <c r="P250" s="416"/>
      <c r="Q250" s="416">
        <v>108875</v>
      </c>
      <c r="R250" s="416"/>
      <c r="S250" s="416">
        <v>2247</v>
      </c>
      <c r="T250" s="353">
        <f t="shared" si="49"/>
        <v>177148</v>
      </c>
      <c r="U250" s="228"/>
      <c r="V250" s="221">
        <f t="shared" si="50"/>
        <v>108875</v>
      </c>
      <c r="W250" s="388">
        <f t="shared" si="59"/>
        <v>66026</v>
      </c>
      <c r="X250" s="222">
        <f t="shared" si="51"/>
        <v>0.244990022927256</v>
      </c>
      <c r="Y250" s="421">
        <f t="shared" si="58"/>
        <v>0.24188249373405291</v>
      </c>
      <c r="Z250" s="223">
        <f t="shared" si="52"/>
        <v>0.61459909228441756</v>
      </c>
      <c r="AA250" s="224" t="str">
        <f t="shared" si="60"/>
        <v>NJ-No</v>
      </c>
      <c r="AB250" s="225" t="str">
        <f t="shared" si="53"/>
        <v>NJ-Rep</v>
      </c>
      <c r="AC250" s="422" t="str">
        <f>C250&amp;"-"&amp;IF(Y250&gt;Instructions!$H$14,Instructions!$I$14,IF(Y250&gt;Instructions!$H$15,Instructions!$I$15,IF(Y250&gt;Instructions!$H$16,Instructions!$I$16,IF(Y250&gt;Instructions!$H$17,Instructions!$I$17,Instructions!$I$18))))</f>
        <v>NJ-Landslide</v>
      </c>
      <c r="AD250" s="226">
        <f t="shared" si="54"/>
        <v>66026</v>
      </c>
      <c r="AE250" s="226">
        <f t="shared" si="55"/>
        <v>0</v>
      </c>
      <c r="AF250" s="227">
        <f t="shared" si="56"/>
        <v>2247</v>
      </c>
      <c r="AG250" s="341">
        <f t="shared" si="57"/>
        <v>68273</v>
      </c>
      <c r="AH250" s="380"/>
    </row>
    <row r="251" spans="1:34">
      <c r="A251" s="352" t="s">
        <v>93</v>
      </c>
      <c r="B251" s="427">
        <v>3</v>
      </c>
      <c r="C251" s="220" t="s">
        <v>29</v>
      </c>
      <c r="D251" s="379" t="s">
        <v>804</v>
      </c>
      <c r="E251"/>
      <c r="F251" s="379"/>
      <c r="G251"/>
      <c r="H251" s="379"/>
      <c r="I251"/>
      <c r="J251" t="str">
        <f t="shared" si="47"/>
        <v>NJ-No</v>
      </c>
      <c r="K251" t="str">
        <f t="shared" si="48"/>
        <v>NJ-No</v>
      </c>
      <c r="L251" s="415">
        <v>0</v>
      </c>
      <c r="M251" s="352"/>
      <c r="N251" s="255">
        <v>2014</v>
      </c>
      <c r="O251" s="416">
        <v>82537</v>
      </c>
      <c r="P251" s="416"/>
      <c r="Q251" s="416">
        <v>100471</v>
      </c>
      <c r="R251" s="416"/>
      <c r="S251" s="416">
        <v>3095</v>
      </c>
      <c r="T251" s="353">
        <f t="shared" si="49"/>
        <v>186103</v>
      </c>
      <c r="U251" s="228"/>
      <c r="V251" s="221">
        <f t="shared" si="50"/>
        <v>100471</v>
      </c>
      <c r="W251" s="388">
        <f t="shared" si="59"/>
        <v>82537</v>
      </c>
      <c r="X251" s="222">
        <f t="shared" si="51"/>
        <v>9.7995716034271721E-2</v>
      </c>
      <c r="Y251" s="421">
        <f t="shared" si="58"/>
        <v>9.6365990876020269E-2</v>
      </c>
      <c r="Z251" s="223">
        <f t="shared" si="52"/>
        <v>0.53986770766725956</v>
      </c>
      <c r="AA251" s="224" t="str">
        <f t="shared" si="60"/>
        <v>NJ-No</v>
      </c>
      <c r="AB251" s="225" t="str">
        <f t="shared" si="53"/>
        <v>NJ-Rep</v>
      </c>
      <c r="AC251" s="422" t="str">
        <f>C251&amp;"-"&amp;IF(Y251&gt;Instructions!$H$14,Instructions!$I$14,IF(Y251&gt;Instructions!$H$15,Instructions!$I$15,IF(Y251&gt;Instructions!$H$16,Instructions!$I$16,IF(Y251&gt;Instructions!$H$17,Instructions!$I$17,Instructions!$I$18))))</f>
        <v>NJ-Competitive</v>
      </c>
      <c r="AD251" s="226">
        <f t="shared" si="54"/>
        <v>82537</v>
      </c>
      <c r="AE251" s="226">
        <f t="shared" si="55"/>
        <v>0</v>
      </c>
      <c r="AF251" s="227">
        <f t="shared" si="56"/>
        <v>3095</v>
      </c>
      <c r="AG251" s="341">
        <f t="shared" si="57"/>
        <v>85632</v>
      </c>
      <c r="AH251" s="380"/>
    </row>
    <row r="252" spans="1:34">
      <c r="A252" s="352" t="s">
        <v>93</v>
      </c>
      <c r="B252" s="427">
        <v>4</v>
      </c>
      <c r="C252" s="220" t="s">
        <v>29</v>
      </c>
      <c r="D252" s="379" t="s">
        <v>585</v>
      </c>
      <c r="E252"/>
      <c r="F252"/>
      <c r="G252"/>
      <c r="H252"/>
      <c r="I252"/>
      <c r="J252" t="str">
        <f t="shared" si="47"/>
        <v>NJ-Yes</v>
      </c>
      <c r="K252" t="str">
        <f t="shared" si="48"/>
        <v>NJ-Yes</v>
      </c>
      <c r="L252" s="352"/>
      <c r="M252" s="352"/>
      <c r="N252" s="255">
        <v>1980</v>
      </c>
      <c r="O252" s="416">
        <v>54415</v>
      </c>
      <c r="P252" s="416"/>
      <c r="Q252" s="416">
        <v>118826</v>
      </c>
      <c r="R252" s="416"/>
      <c r="S252" s="416">
        <v>1608</v>
      </c>
      <c r="T252" s="353">
        <f t="shared" si="49"/>
        <v>174849</v>
      </c>
      <c r="U252" s="228"/>
      <c r="V252" s="221">
        <f t="shared" si="50"/>
        <v>118826</v>
      </c>
      <c r="W252" s="388">
        <f t="shared" si="59"/>
        <v>54415</v>
      </c>
      <c r="X252" s="222">
        <f t="shared" si="51"/>
        <v>0.37179997806523862</v>
      </c>
      <c r="Y252" s="421">
        <f t="shared" si="58"/>
        <v>0.36838071707587694</v>
      </c>
      <c r="Z252" s="223">
        <f t="shared" si="52"/>
        <v>0.67959210518790503</v>
      </c>
      <c r="AA252" s="224" t="str">
        <f t="shared" si="60"/>
        <v>NJ-No</v>
      </c>
      <c r="AB252" s="225" t="str">
        <f t="shared" si="53"/>
        <v>NJ-Rep</v>
      </c>
      <c r="AC252" s="422" t="str">
        <f>C252&amp;"-"&amp;IF(Y252&gt;Instructions!$H$14,Instructions!$I$14,IF(Y252&gt;Instructions!$H$15,Instructions!$I$15,IF(Y252&gt;Instructions!$H$16,Instructions!$I$16,IF(Y252&gt;Instructions!$H$17,Instructions!$I$17,Instructions!$I$18))))</f>
        <v>NJ-Landslide</v>
      </c>
      <c r="AD252" s="226">
        <f t="shared" si="54"/>
        <v>54415</v>
      </c>
      <c r="AE252" s="226">
        <f t="shared" si="55"/>
        <v>0</v>
      </c>
      <c r="AF252" s="227">
        <f t="shared" si="56"/>
        <v>1608</v>
      </c>
      <c r="AG252" s="341">
        <f t="shared" si="57"/>
        <v>56023</v>
      </c>
    </row>
    <row r="253" spans="1:34">
      <c r="A253" s="352" t="s">
        <v>93</v>
      </c>
      <c r="B253" s="427">
        <v>5</v>
      </c>
      <c r="C253" s="220" t="s">
        <v>29</v>
      </c>
      <c r="D253" s="379" t="s">
        <v>586</v>
      </c>
      <c r="E253"/>
      <c r="F253"/>
      <c r="G253" s="379"/>
      <c r="H253"/>
      <c r="I253"/>
      <c r="J253" t="str">
        <f t="shared" si="47"/>
        <v>NJ-Yes</v>
      </c>
      <c r="K253" t="str">
        <f t="shared" si="48"/>
        <v>NJ-Yes</v>
      </c>
      <c r="L253" s="415"/>
      <c r="M253" s="415"/>
      <c r="N253" s="255">
        <v>2002</v>
      </c>
      <c r="O253" s="416">
        <v>81808</v>
      </c>
      <c r="P253" s="416"/>
      <c r="Q253" s="416">
        <v>104678</v>
      </c>
      <c r="R253" s="416"/>
      <c r="S253" s="416">
        <v>2435</v>
      </c>
      <c r="T253" s="353">
        <f t="shared" si="49"/>
        <v>188921</v>
      </c>
      <c r="U253" s="228"/>
      <c r="V253" s="221">
        <f t="shared" si="50"/>
        <v>104678</v>
      </c>
      <c r="W253" s="388">
        <f t="shared" si="59"/>
        <v>81808</v>
      </c>
      <c r="X253" s="222">
        <f t="shared" si="51"/>
        <v>0.12263655180549746</v>
      </c>
      <c r="Y253" s="421">
        <f t="shared" si="58"/>
        <v>0.12105589108675058</v>
      </c>
      <c r="Z253" s="223">
        <f t="shared" si="52"/>
        <v>0.55408345287183536</v>
      </c>
      <c r="AA253" s="224" t="str">
        <f t="shared" si="60"/>
        <v>NJ-No</v>
      </c>
      <c r="AB253" s="225" t="str">
        <f t="shared" si="53"/>
        <v>NJ-Rep</v>
      </c>
      <c r="AC253" s="422" t="str">
        <f>C253&amp;"-"&amp;IF(Y253&gt;Instructions!$H$14,Instructions!$I$14,IF(Y253&gt;Instructions!$H$15,Instructions!$I$15,IF(Y253&gt;Instructions!$H$16,Instructions!$I$16,IF(Y253&gt;Instructions!$H$17,Instructions!$I$17,Instructions!$I$18))))</f>
        <v>NJ-Opportunity</v>
      </c>
      <c r="AD253" s="226">
        <f t="shared" si="54"/>
        <v>81808</v>
      </c>
      <c r="AE253" s="226">
        <f t="shared" si="55"/>
        <v>0</v>
      </c>
      <c r="AF253" s="227">
        <f t="shared" si="56"/>
        <v>2435</v>
      </c>
      <c r="AG253" s="341">
        <f t="shared" si="57"/>
        <v>84243</v>
      </c>
      <c r="AH253" s="380"/>
    </row>
    <row r="254" spans="1:34">
      <c r="A254" s="352" t="s">
        <v>93</v>
      </c>
      <c r="B254" s="427">
        <v>6</v>
      </c>
      <c r="C254" s="220" t="s">
        <v>29</v>
      </c>
      <c r="D254" s="379" t="s">
        <v>587</v>
      </c>
      <c r="E254"/>
      <c r="F254"/>
      <c r="G254"/>
      <c r="H254"/>
      <c r="I254"/>
      <c r="J254" t="str">
        <f t="shared" si="47"/>
        <v>NJ-Yes</v>
      </c>
      <c r="K254" t="str">
        <f t="shared" si="48"/>
        <v>NJ-Yes</v>
      </c>
      <c r="L254" s="417"/>
      <c r="M254" s="417"/>
      <c r="N254" s="255">
        <v>1988</v>
      </c>
      <c r="O254" s="416">
        <v>72190</v>
      </c>
      <c r="P254" s="416"/>
      <c r="Q254" s="416">
        <v>46891</v>
      </c>
      <c r="R254" s="416"/>
      <c r="S254" s="416">
        <v>1376</v>
      </c>
      <c r="T254" s="353">
        <f t="shared" si="49"/>
        <v>120457</v>
      </c>
      <c r="U254" s="228"/>
      <c r="V254" s="221">
        <f t="shared" si="50"/>
        <v>72190</v>
      </c>
      <c r="W254" s="388">
        <f t="shared" si="59"/>
        <v>46891</v>
      </c>
      <c r="X254" s="222">
        <f t="shared" si="51"/>
        <v>0.21245202845122227</v>
      </c>
      <c r="Y254" s="421">
        <f t="shared" si="58"/>
        <v>0.21002515420440487</v>
      </c>
      <c r="Z254" s="223">
        <f t="shared" si="52"/>
        <v>0.59930099537594328</v>
      </c>
      <c r="AA254" s="224" t="str">
        <f t="shared" si="60"/>
        <v>NJ-No</v>
      </c>
      <c r="AB254" s="225" t="str">
        <f t="shared" si="53"/>
        <v>NJ-Dem</v>
      </c>
      <c r="AC254" s="422" t="str">
        <f>C254&amp;"-"&amp;IF(Y254&gt;Instructions!$H$14,Instructions!$I$14,IF(Y254&gt;Instructions!$H$15,Instructions!$I$15,IF(Y254&gt;Instructions!$H$16,Instructions!$I$16,IF(Y254&gt;Instructions!$H$17,Instructions!$I$17,Instructions!$I$18))))</f>
        <v>NJ-Landslide</v>
      </c>
      <c r="AD254" s="226">
        <f t="shared" si="54"/>
        <v>0</v>
      </c>
      <c r="AE254" s="226">
        <f t="shared" si="55"/>
        <v>46891</v>
      </c>
      <c r="AF254" s="227">
        <f t="shared" si="56"/>
        <v>1376</v>
      </c>
      <c r="AG254" s="341">
        <f t="shared" si="57"/>
        <v>48267</v>
      </c>
      <c r="AH254" s="380"/>
    </row>
    <row r="255" spans="1:34">
      <c r="A255" s="352" t="s">
        <v>93</v>
      </c>
      <c r="B255" s="427">
        <v>7</v>
      </c>
      <c r="C255" s="220" t="s">
        <v>29</v>
      </c>
      <c r="D255" s="379" t="s">
        <v>588</v>
      </c>
      <c r="E255"/>
      <c r="F255"/>
      <c r="G255" s="379"/>
      <c r="H255"/>
      <c r="I255"/>
      <c r="J255" t="str">
        <f t="shared" si="47"/>
        <v>NJ-Yes</v>
      </c>
      <c r="K255" t="str">
        <f t="shared" si="48"/>
        <v>NJ-Yes</v>
      </c>
      <c r="L255" s="415"/>
      <c r="M255" s="415"/>
      <c r="N255" s="255">
        <v>2008</v>
      </c>
      <c r="O255" s="416">
        <v>68232</v>
      </c>
      <c r="P255" s="416"/>
      <c r="Q255" s="416">
        <v>104287</v>
      </c>
      <c r="R255" s="416"/>
      <c r="S255" s="416">
        <v>3478</v>
      </c>
      <c r="T255" s="353">
        <f t="shared" si="49"/>
        <v>175997</v>
      </c>
      <c r="U255" s="228"/>
      <c r="V255" s="221">
        <f t="shared" si="50"/>
        <v>104287</v>
      </c>
      <c r="W255" s="388">
        <f t="shared" si="59"/>
        <v>68232</v>
      </c>
      <c r="X255" s="222">
        <f t="shared" si="51"/>
        <v>0.20899147340292953</v>
      </c>
      <c r="Y255" s="421">
        <f t="shared" si="58"/>
        <v>0.204861446501929</v>
      </c>
      <c r="Z255" s="223">
        <f t="shared" si="52"/>
        <v>0.59254987300919904</v>
      </c>
      <c r="AA255" s="224" t="str">
        <f t="shared" si="60"/>
        <v>NJ-No</v>
      </c>
      <c r="AB255" s="225" t="str">
        <f t="shared" si="53"/>
        <v>NJ-Rep</v>
      </c>
      <c r="AC255" s="422" t="str">
        <f>C255&amp;"-"&amp;IF(Y255&gt;Instructions!$H$14,Instructions!$I$14,IF(Y255&gt;Instructions!$H$15,Instructions!$I$15,IF(Y255&gt;Instructions!$H$16,Instructions!$I$16,IF(Y255&gt;Instructions!$H$17,Instructions!$I$17,Instructions!$I$18))))</f>
        <v>NJ-Landslide</v>
      </c>
      <c r="AD255" s="226">
        <f t="shared" si="54"/>
        <v>68232</v>
      </c>
      <c r="AE255" s="226">
        <f t="shared" si="55"/>
        <v>0</v>
      </c>
      <c r="AF255" s="227">
        <f t="shared" si="56"/>
        <v>3478</v>
      </c>
      <c r="AG255" s="341">
        <f t="shared" si="57"/>
        <v>71710</v>
      </c>
      <c r="AH255" s="380"/>
    </row>
    <row r="256" spans="1:34">
      <c r="A256" s="352" t="s">
        <v>93</v>
      </c>
      <c r="B256" s="427">
        <v>8</v>
      </c>
      <c r="C256" s="220" t="s">
        <v>29</v>
      </c>
      <c r="D256" s="379" t="s">
        <v>589</v>
      </c>
      <c r="E256"/>
      <c r="F256" s="379"/>
      <c r="G256" s="414" t="s">
        <v>362</v>
      </c>
      <c r="H256"/>
      <c r="I256"/>
      <c r="J256" t="str">
        <f t="shared" si="47"/>
        <v>NJ-Yes</v>
      </c>
      <c r="K256" t="str">
        <f t="shared" si="48"/>
        <v>NJ-Yes</v>
      </c>
      <c r="L256" s="417"/>
      <c r="M256" s="417"/>
      <c r="N256" s="255">
        <v>2006</v>
      </c>
      <c r="O256" s="416">
        <v>61510</v>
      </c>
      <c r="P256" s="416"/>
      <c r="Q256" s="416">
        <v>15141</v>
      </c>
      <c r="R256" s="416"/>
      <c r="S256" s="416">
        <v>2867</v>
      </c>
      <c r="T256" s="353">
        <f t="shared" si="49"/>
        <v>79518</v>
      </c>
      <c r="U256" s="228"/>
      <c r="V256" s="221">
        <f t="shared" si="50"/>
        <v>61510</v>
      </c>
      <c r="W256" s="388">
        <f t="shared" si="59"/>
        <v>15141</v>
      </c>
      <c r="X256" s="222">
        <f t="shared" si="51"/>
        <v>0.60493666096985033</v>
      </c>
      <c r="Y256" s="421">
        <f t="shared" si="58"/>
        <v>0.58312583314469679</v>
      </c>
      <c r="Z256" s="223">
        <f t="shared" si="52"/>
        <v>0.77353555169898636</v>
      </c>
      <c r="AA256" s="224" t="str">
        <f t="shared" si="60"/>
        <v>NJ-No</v>
      </c>
      <c r="AB256" s="225" t="str">
        <f t="shared" si="53"/>
        <v>NJ-Dem</v>
      </c>
      <c r="AC256" s="422" t="str">
        <f>C256&amp;"-"&amp;IF(Y256&gt;Instructions!$H$14,Instructions!$I$14,IF(Y256&gt;Instructions!$H$15,Instructions!$I$15,IF(Y256&gt;Instructions!$H$16,Instructions!$I$16,IF(Y256&gt;Instructions!$H$17,Instructions!$I$17,Instructions!$I$18))))</f>
        <v>NJ-No contest</v>
      </c>
      <c r="AD256" s="226">
        <f t="shared" si="54"/>
        <v>0</v>
      </c>
      <c r="AE256" s="226">
        <f t="shared" si="55"/>
        <v>15141</v>
      </c>
      <c r="AF256" s="227">
        <f t="shared" si="56"/>
        <v>2867</v>
      </c>
      <c r="AG256" s="341">
        <f t="shared" si="57"/>
        <v>18008</v>
      </c>
      <c r="AH256" s="380"/>
    </row>
    <row r="257" spans="1:34">
      <c r="A257" s="352" t="s">
        <v>93</v>
      </c>
      <c r="B257" s="427">
        <v>9</v>
      </c>
      <c r="C257" s="220" t="s">
        <v>29</v>
      </c>
      <c r="D257" s="379" t="s">
        <v>590</v>
      </c>
      <c r="E257"/>
      <c r="F257"/>
      <c r="G257"/>
      <c r="H257"/>
      <c r="I257"/>
      <c r="J257" t="str">
        <f t="shared" si="47"/>
        <v>NJ-Yes</v>
      </c>
      <c r="K257" t="str">
        <f t="shared" si="48"/>
        <v>NJ-Yes</v>
      </c>
      <c r="L257" s="417"/>
      <c r="M257" s="417"/>
      <c r="N257" s="255">
        <v>1996</v>
      </c>
      <c r="O257" s="416">
        <v>82498</v>
      </c>
      <c r="P257" s="416"/>
      <c r="Q257" s="416">
        <v>36246</v>
      </c>
      <c r="R257" s="416"/>
      <c r="S257" s="416">
        <v>1715</v>
      </c>
      <c r="T257" s="353">
        <f t="shared" si="49"/>
        <v>120459</v>
      </c>
      <c r="U257" s="228"/>
      <c r="V257" s="221">
        <f t="shared" si="50"/>
        <v>82498</v>
      </c>
      <c r="W257" s="388">
        <f t="shared" si="59"/>
        <v>36246</v>
      </c>
      <c r="X257" s="222">
        <f t="shared" si="51"/>
        <v>0.38951020683150306</v>
      </c>
      <c r="Y257" s="421">
        <f t="shared" si="58"/>
        <v>0.38396466847641109</v>
      </c>
      <c r="Z257" s="223">
        <f t="shared" si="52"/>
        <v>0.68486372956773678</v>
      </c>
      <c r="AA257" s="224" t="str">
        <f t="shared" si="60"/>
        <v>NJ-No</v>
      </c>
      <c r="AB257" s="225" t="str">
        <f t="shared" si="53"/>
        <v>NJ-Dem</v>
      </c>
      <c r="AC257" s="422" t="str">
        <f>C257&amp;"-"&amp;IF(Y257&gt;Instructions!$H$14,Instructions!$I$14,IF(Y257&gt;Instructions!$H$15,Instructions!$I$15,IF(Y257&gt;Instructions!$H$16,Instructions!$I$16,IF(Y257&gt;Instructions!$H$17,Instructions!$I$17,Instructions!$I$18))))</f>
        <v>NJ-Landslide</v>
      </c>
      <c r="AD257" s="226">
        <f t="shared" si="54"/>
        <v>0</v>
      </c>
      <c r="AE257" s="226">
        <f t="shared" si="55"/>
        <v>36246</v>
      </c>
      <c r="AF257" s="227">
        <f t="shared" si="56"/>
        <v>1715</v>
      </c>
      <c r="AG257" s="341">
        <f t="shared" si="57"/>
        <v>37961</v>
      </c>
      <c r="AH257" s="380"/>
    </row>
    <row r="258" spans="1:34">
      <c r="A258" s="352" t="s">
        <v>93</v>
      </c>
      <c r="B258" s="427">
        <v>10</v>
      </c>
      <c r="C258" s="220" t="s">
        <v>29</v>
      </c>
      <c r="D258" s="379" t="s">
        <v>591</v>
      </c>
      <c r="E258"/>
      <c r="F258" s="414" t="s">
        <v>362</v>
      </c>
      <c r="G258"/>
      <c r="H258"/>
      <c r="I258"/>
      <c r="J258" t="str">
        <f t="shared" si="47"/>
        <v>NJ-Yes</v>
      </c>
      <c r="K258" t="str">
        <f t="shared" si="48"/>
        <v>NJ-Yes</v>
      </c>
      <c r="L258" s="417"/>
      <c r="M258" s="417"/>
      <c r="N258" s="255">
        <v>2012</v>
      </c>
      <c r="O258" s="416">
        <v>95734</v>
      </c>
      <c r="P258" s="416"/>
      <c r="Q258" s="416">
        <v>14154</v>
      </c>
      <c r="R258" s="416"/>
      <c r="S258" s="416">
        <v>2235</v>
      </c>
      <c r="T258" s="353">
        <f t="shared" si="49"/>
        <v>112123</v>
      </c>
      <c r="U258" s="228"/>
      <c r="V258" s="221">
        <f t="shared" si="50"/>
        <v>95734</v>
      </c>
      <c r="W258" s="388">
        <f t="shared" si="59"/>
        <v>14154</v>
      </c>
      <c r="X258" s="222">
        <f t="shared" si="51"/>
        <v>0.7423922539312755</v>
      </c>
      <c r="Y258" s="421">
        <f t="shared" si="58"/>
        <v>0.7275938032339484</v>
      </c>
      <c r="Z258" s="223">
        <f t="shared" si="52"/>
        <v>0.85383016865406736</v>
      </c>
      <c r="AA258" s="224" t="str">
        <f t="shared" si="60"/>
        <v>NJ-No</v>
      </c>
      <c r="AB258" s="225" t="str">
        <f t="shared" si="53"/>
        <v>NJ-Dem</v>
      </c>
      <c r="AC258" s="422" t="str">
        <f>C258&amp;"-"&amp;IF(Y258&gt;Instructions!$H$14,Instructions!$I$14,IF(Y258&gt;Instructions!$H$15,Instructions!$I$15,IF(Y258&gt;Instructions!$H$16,Instructions!$I$16,IF(Y258&gt;Instructions!$H$17,Instructions!$I$17,Instructions!$I$18))))</f>
        <v>NJ-No contest</v>
      </c>
      <c r="AD258" s="226">
        <f t="shared" si="54"/>
        <v>0</v>
      </c>
      <c r="AE258" s="226">
        <f t="shared" si="55"/>
        <v>14154</v>
      </c>
      <c r="AF258" s="227">
        <f t="shared" si="56"/>
        <v>2235</v>
      </c>
      <c r="AG258" s="341">
        <f t="shared" si="57"/>
        <v>16389</v>
      </c>
    </row>
    <row r="259" spans="1:34">
      <c r="A259" s="352" t="s">
        <v>93</v>
      </c>
      <c r="B259" s="427">
        <v>11</v>
      </c>
      <c r="C259" s="220" t="s">
        <v>29</v>
      </c>
      <c r="D259" s="379" t="s">
        <v>592</v>
      </c>
      <c r="E259"/>
      <c r="F259" s="381"/>
      <c r="G259"/>
      <c r="H259"/>
      <c r="I259"/>
      <c r="J259" t="str">
        <f t="shared" si="47"/>
        <v>NJ-Yes</v>
      </c>
      <c r="K259" t="str">
        <f t="shared" si="48"/>
        <v>NJ-Yes</v>
      </c>
      <c r="L259" s="415"/>
      <c r="M259" s="415"/>
      <c r="N259" s="255">
        <v>1994</v>
      </c>
      <c r="O259" s="416">
        <v>65477</v>
      </c>
      <c r="P259" s="416"/>
      <c r="Q259" s="416">
        <v>109455</v>
      </c>
      <c r="R259" s="416"/>
      <c r="S259" s="416">
        <v>0</v>
      </c>
      <c r="T259" s="353">
        <f t="shared" si="49"/>
        <v>174932</v>
      </c>
      <c r="U259" s="228"/>
      <c r="V259" s="221">
        <f t="shared" si="50"/>
        <v>109455</v>
      </c>
      <c r="W259" s="388">
        <f t="shared" si="59"/>
        <v>65477</v>
      </c>
      <c r="X259" s="222">
        <f t="shared" si="51"/>
        <v>0.25140054421146502</v>
      </c>
      <c r="Y259" s="421">
        <f t="shared" si="58"/>
        <v>0.25140054421146507</v>
      </c>
      <c r="Z259" s="223">
        <f t="shared" si="52"/>
        <v>0.62570027210573254</v>
      </c>
      <c r="AA259" s="224" t="str">
        <f t="shared" si="60"/>
        <v>NJ-No</v>
      </c>
      <c r="AB259" s="225" t="str">
        <f t="shared" si="53"/>
        <v>NJ-Rep</v>
      </c>
      <c r="AC259" s="422" t="str">
        <f>C259&amp;"-"&amp;IF(Y259&gt;Instructions!$H$14,Instructions!$I$14,IF(Y259&gt;Instructions!$H$15,Instructions!$I$15,IF(Y259&gt;Instructions!$H$16,Instructions!$I$16,IF(Y259&gt;Instructions!$H$17,Instructions!$I$17,Instructions!$I$18))))</f>
        <v>NJ-Landslide</v>
      </c>
      <c r="AD259" s="226">
        <f t="shared" si="54"/>
        <v>65477</v>
      </c>
      <c r="AE259" s="226">
        <f t="shared" si="55"/>
        <v>0</v>
      </c>
      <c r="AF259" s="227">
        <f t="shared" si="56"/>
        <v>0</v>
      </c>
      <c r="AG259" s="341">
        <f t="shared" si="57"/>
        <v>65477</v>
      </c>
      <c r="AH259" s="380"/>
    </row>
    <row r="260" spans="1:34">
      <c r="A260" s="352" t="s">
        <v>93</v>
      </c>
      <c r="B260" s="427">
        <v>12</v>
      </c>
      <c r="C260" s="220" t="s">
        <v>29</v>
      </c>
      <c r="D260" s="379" t="s">
        <v>805</v>
      </c>
      <c r="E260" t="s">
        <v>362</v>
      </c>
      <c r="F260" s="379"/>
      <c r="G260"/>
      <c r="H260"/>
      <c r="I260"/>
      <c r="J260" t="str">
        <f t="shared" si="47"/>
        <v>NJ-No</v>
      </c>
      <c r="K260" t="str">
        <f t="shared" si="48"/>
        <v>NJ-No</v>
      </c>
      <c r="L260" s="415">
        <v>0</v>
      </c>
      <c r="M260" s="417"/>
      <c r="N260" s="255">
        <v>2014</v>
      </c>
      <c r="O260" s="416">
        <v>90430</v>
      </c>
      <c r="P260" s="416"/>
      <c r="Q260" s="416">
        <v>54168</v>
      </c>
      <c r="R260" s="416"/>
      <c r="S260" s="416">
        <v>3768</v>
      </c>
      <c r="T260" s="353">
        <f t="shared" si="49"/>
        <v>148366</v>
      </c>
      <c r="U260" s="228"/>
      <c r="V260" s="221">
        <f t="shared" si="50"/>
        <v>90430</v>
      </c>
      <c r="W260" s="388">
        <f t="shared" si="59"/>
        <v>54168</v>
      </c>
      <c r="X260" s="222">
        <f t="shared" si="51"/>
        <v>0.25077801905973801</v>
      </c>
      <c r="Y260" s="421">
        <f t="shared" si="58"/>
        <v>0.24440909642370895</v>
      </c>
      <c r="Z260" s="223">
        <f t="shared" si="52"/>
        <v>0.60950622110186969</v>
      </c>
      <c r="AA260" s="224" t="str">
        <f t="shared" si="60"/>
        <v>NJ-No</v>
      </c>
      <c r="AB260" s="225" t="str">
        <f t="shared" si="53"/>
        <v>NJ-Dem</v>
      </c>
      <c r="AC260" s="422" t="str">
        <f>C260&amp;"-"&amp;IF(Y260&gt;Instructions!$H$14,Instructions!$I$14,IF(Y260&gt;Instructions!$H$15,Instructions!$I$15,IF(Y260&gt;Instructions!$H$16,Instructions!$I$16,IF(Y260&gt;Instructions!$H$17,Instructions!$I$17,Instructions!$I$18))))</f>
        <v>NJ-Landslide</v>
      </c>
      <c r="AD260" s="226">
        <f t="shared" si="54"/>
        <v>0</v>
      </c>
      <c r="AE260" s="226">
        <f t="shared" si="55"/>
        <v>54168</v>
      </c>
      <c r="AF260" s="227">
        <f t="shared" si="56"/>
        <v>3768</v>
      </c>
      <c r="AG260" s="341">
        <f t="shared" si="57"/>
        <v>57936</v>
      </c>
      <c r="AH260" s="380"/>
    </row>
    <row r="261" spans="1:34">
      <c r="A261" s="352" t="s">
        <v>94</v>
      </c>
      <c r="B261" s="427">
        <v>1</v>
      </c>
      <c r="C261" s="220" t="s">
        <v>30</v>
      </c>
      <c r="D261" s="379" t="s">
        <v>593</v>
      </c>
      <c r="E261" t="s">
        <v>363</v>
      </c>
      <c r="F261" s="379"/>
      <c r="G261" s="414" t="s">
        <v>363</v>
      </c>
      <c r="H261"/>
      <c r="I261"/>
      <c r="J261" t="str">
        <f t="shared" si="47"/>
        <v>NM-Yes</v>
      </c>
      <c r="K261" t="str">
        <f t="shared" si="48"/>
        <v>NM-Yes</v>
      </c>
      <c r="L261" s="417"/>
      <c r="M261" s="417"/>
      <c r="N261" s="255">
        <v>2012</v>
      </c>
      <c r="O261" s="416">
        <v>105474</v>
      </c>
      <c r="P261" s="416"/>
      <c r="Q261" s="416">
        <v>74558</v>
      </c>
      <c r="R261" s="416"/>
      <c r="S261" s="416">
        <v>0</v>
      </c>
      <c r="T261" s="353">
        <f t="shared" si="49"/>
        <v>180032</v>
      </c>
      <c r="U261" s="228"/>
      <c r="V261" s="221">
        <f t="shared" si="50"/>
        <v>105474</v>
      </c>
      <c r="W261" s="388">
        <f t="shared" si="59"/>
        <v>74558</v>
      </c>
      <c r="X261" s="222">
        <f t="shared" si="51"/>
        <v>0.17172502666192677</v>
      </c>
      <c r="Y261" s="421">
        <f t="shared" si="58"/>
        <v>0.17172502666192679</v>
      </c>
      <c r="Z261" s="223">
        <f t="shared" si="52"/>
        <v>0.5858625133309634</v>
      </c>
      <c r="AA261" s="224" t="str">
        <f t="shared" si="60"/>
        <v>NM-No</v>
      </c>
      <c r="AB261" s="225" t="str">
        <f t="shared" si="53"/>
        <v>NM-Dem</v>
      </c>
      <c r="AC261" s="422" t="str">
        <f>C261&amp;"-"&amp;IF(Y261&gt;Instructions!$H$14,Instructions!$I$14,IF(Y261&gt;Instructions!$H$15,Instructions!$I$15,IF(Y261&gt;Instructions!$H$16,Instructions!$I$16,IF(Y261&gt;Instructions!$H$17,Instructions!$I$17,Instructions!$I$18))))</f>
        <v>NM-Opportunity</v>
      </c>
      <c r="AD261" s="226">
        <f t="shared" si="54"/>
        <v>0</v>
      </c>
      <c r="AE261" s="226">
        <f t="shared" si="55"/>
        <v>74558</v>
      </c>
      <c r="AF261" s="227">
        <f t="shared" si="56"/>
        <v>0</v>
      </c>
      <c r="AG261" s="341">
        <f t="shared" si="57"/>
        <v>74558</v>
      </c>
    </row>
    <row r="262" spans="1:34">
      <c r="A262" s="352" t="s">
        <v>94</v>
      </c>
      <c r="B262" s="427">
        <v>2</v>
      </c>
      <c r="C262" s="220" t="s">
        <v>30</v>
      </c>
      <c r="D262" s="379" t="s">
        <v>594</v>
      </c>
      <c r="E262"/>
      <c r="F262"/>
      <c r="G262" s="381"/>
      <c r="H262"/>
      <c r="I262"/>
      <c r="J262" t="str">
        <f t="shared" si="47"/>
        <v>NM-Yes</v>
      </c>
      <c r="K262" t="str">
        <f t="shared" si="48"/>
        <v>NM-Yes</v>
      </c>
      <c r="L262" s="352"/>
      <c r="M262" s="352"/>
      <c r="N262" s="255">
        <v>2010</v>
      </c>
      <c r="O262" s="416">
        <v>52499</v>
      </c>
      <c r="P262" s="416"/>
      <c r="Q262" s="416">
        <v>95209</v>
      </c>
      <c r="R262" s="416"/>
      <c r="S262" s="416">
        <v>69</v>
      </c>
      <c r="T262" s="353">
        <f t="shared" si="49"/>
        <v>147777</v>
      </c>
      <c r="U262" s="228"/>
      <c r="V262" s="221">
        <f t="shared" si="50"/>
        <v>95209</v>
      </c>
      <c r="W262" s="388">
        <f t="shared" si="59"/>
        <v>52499</v>
      </c>
      <c r="X262" s="222">
        <f t="shared" si="51"/>
        <v>0.28915156931242725</v>
      </c>
      <c r="Y262" s="421">
        <f t="shared" si="58"/>
        <v>0.2890165587337678</v>
      </c>
      <c r="Z262" s="223">
        <f t="shared" si="52"/>
        <v>0.6442748194915312</v>
      </c>
      <c r="AA262" s="224" t="str">
        <f t="shared" si="60"/>
        <v>NM-No</v>
      </c>
      <c r="AB262" s="225" t="str">
        <f t="shared" si="53"/>
        <v>NM-Rep</v>
      </c>
      <c r="AC262" s="422" t="str">
        <f>C262&amp;"-"&amp;IF(Y262&gt;Instructions!$H$14,Instructions!$I$14,IF(Y262&gt;Instructions!$H$15,Instructions!$I$15,IF(Y262&gt;Instructions!$H$16,Instructions!$I$16,IF(Y262&gt;Instructions!$H$17,Instructions!$I$17,Instructions!$I$18))))</f>
        <v>NM-Landslide</v>
      </c>
      <c r="AD262" s="226">
        <f t="shared" si="54"/>
        <v>52499</v>
      </c>
      <c r="AE262" s="226">
        <f t="shared" si="55"/>
        <v>0</v>
      </c>
      <c r="AF262" s="227">
        <f t="shared" si="56"/>
        <v>69</v>
      </c>
      <c r="AG262" s="341">
        <f t="shared" si="57"/>
        <v>52568</v>
      </c>
      <c r="AH262" s="413">
        <f>SUM(AG250:AG262)</f>
        <v>737045</v>
      </c>
    </row>
    <row r="263" spans="1:34">
      <c r="A263" s="352" t="s">
        <v>94</v>
      </c>
      <c r="B263" s="427">
        <v>3</v>
      </c>
      <c r="C263" s="220" t="s">
        <v>30</v>
      </c>
      <c r="D263" s="379" t="s">
        <v>595</v>
      </c>
      <c r="E263"/>
      <c r="F263"/>
      <c r="G263" s="414" t="s">
        <v>363</v>
      </c>
      <c r="H263"/>
      <c r="I263"/>
      <c r="J263" t="str">
        <f t="shared" ref="J263:J326" si="61">C263&amp;"-"&amp;IF(L263=1, "Yes", IF(L263="", "Yes", IF(L263=0, "No")))</f>
        <v>NM-Yes</v>
      </c>
      <c r="K263" t="str">
        <f t="shared" ref="K263:K326" si="62">C263&amp;"-"&amp;IF(L263=1, "No", IF(M263=1, "No", IF(L263="", "Yes", IF(L263=0, "No"))))</f>
        <v>NM-Yes</v>
      </c>
      <c r="L263" s="417"/>
      <c r="M263" s="417"/>
      <c r="N263" s="255">
        <v>2008</v>
      </c>
      <c r="O263" s="416">
        <v>113249</v>
      </c>
      <c r="P263" s="416"/>
      <c r="Q263" s="416">
        <v>70775</v>
      </c>
      <c r="R263" s="416"/>
      <c r="S263" s="416">
        <v>52</v>
      </c>
      <c r="T263" s="353">
        <f t="shared" ref="T263:T326" si="63">O263+Q263+P263+R263+S263</f>
        <v>184076</v>
      </c>
      <c r="U263" s="228"/>
      <c r="V263" s="221">
        <f t="shared" ref="V263:V326" si="64">MAX(O263:S263)</f>
        <v>113249</v>
      </c>
      <c r="W263" s="388">
        <f t="shared" si="59"/>
        <v>70775</v>
      </c>
      <c r="X263" s="222">
        <f t="shared" ref="X263:X326" si="65">ABS(O263-Q263)/(O263+Q263)</f>
        <v>0.23080685128026779</v>
      </c>
      <c r="Y263" s="421">
        <f t="shared" si="58"/>
        <v>0.23074165018796583</v>
      </c>
      <c r="Z263" s="223">
        <f t="shared" ref="Z263:Z326" si="66">V263/T263</f>
        <v>0.6152295790868989</v>
      </c>
      <c r="AA263" s="224" t="str">
        <f t="shared" si="60"/>
        <v>NM-No</v>
      </c>
      <c r="AB263" s="225" t="str">
        <f t="shared" ref="AB263:AB326" si="67">C263&amp;"-"&amp;IF(S263=MAX(O263:S263),"Other",IF(Q263&gt;O263,"Rep","Dem"))</f>
        <v>NM-Dem</v>
      </c>
      <c r="AC263" s="422" t="str">
        <f>C263&amp;"-"&amp;IF(Y263&gt;Instructions!$H$14,Instructions!$I$14,IF(Y263&gt;Instructions!$H$15,Instructions!$I$15,IF(Y263&gt;Instructions!$H$16,Instructions!$I$16,IF(Y263&gt;Instructions!$H$17,Instructions!$I$17,Instructions!$I$18))))</f>
        <v>NM-Landslide</v>
      </c>
      <c r="AD263" s="226">
        <f t="shared" ref="AD263:AD326" si="68">IF(V263=O263,0,O263)</f>
        <v>0</v>
      </c>
      <c r="AE263" s="226">
        <f t="shared" ref="AE263:AE326" si="69">IF(V263=Q263,0,Q263)</f>
        <v>70775</v>
      </c>
      <c r="AF263" s="227">
        <f t="shared" ref="AF263:AF326" si="70">IF(V263=S263,0,S263)</f>
        <v>52</v>
      </c>
      <c r="AG263" s="341">
        <f t="shared" ref="AG263:AG326" si="71">SUM(AD263:AF263)</f>
        <v>70827</v>
      </c>
    </row>
    <row r="264" spans="1:34">
      <c r="A264" s="352" t="s">
        <v>95</v>
      </c>
      <c r="B264" s="427">
        <v>1</v>
      </c>
      <c r="C264" s="220" t="s">
        <v>31</v>
      </c>
      <c r="D264" s="379" t="s">
        <v>806</v>
      </c>
      <c r="E264"/>
      <c r="F264" s="379"/>
      <c r="G264"/>
      <c r="H264"/>
      <c r="I264"/>
      <c r="J264" t="str">
        <f t="shared" si="61"/>
        <v>NY-Yes</v>
      </c>
      <c r="K264" t="str">
        <f t="shared" si="62"/>
        <v>NY-No</v>
      </c>
      <c r="L264" s="417">
        <v>1</v>
      </c>
      <c r="M264" s="417">
        <v>1</v>
      </c>
      <c r="N264" s="255">
        <v>2014</v>
      </c>
      <c r="O264" s="416">
        <v>78722</v>
      </c>
      <c r="P264" s="416"/>
      <c r="Q264" s="416">
        <v>94035</v>
      </c>
      <c r="R264" s="416"/>
      <c r="S264" s="416">
        <v>108</v>
      </c>
      <c r="T264" s="353">
        <f t="shared" si="63"/>
        <v>172865</v>
      </c>
      <c r="U264" s="228"/>
      <c r="V264" s="221">
        <f t="shared" si="64"/>
        <v>94035</v>
      </c>
      <c r="W264" s="388">
        <f t="shared" si="59"/>
        <v>78722</v>
      </c>
      <c r="X264" s="222">
        <f t="shared" si="65"/>
        <v>8.8638955295588601E-2</v>
      </c>
      <c r="Y264" s="421">
        <f t="shared" ref="Y264:Y327" si="72">(V264/T264)-(W264/T264)</f>
        <v>8.8583576779567852E-2</v>
      </c>
      <c r="Z264" s="223">
        <f t="shared" si="66"/>
        <v>0.54397940589477334</v>
      </c>
      <c r="AA264" s="224" t="str">
        <f t="shared" si="60"/>
        <v>NY-No</v>
      </c>
      <c r="AB264" s="225" t="str">
        <f t="shared" si="67"/>
        <v>NY-Rep</v>
      </c>
      <c r="AC264" s="422" t="str">
        <f>C264&amp;"-"&amp;IF(Y264&gt;Instructions!$H$14,Instructions!$I$14,IF(Y264&gt;Instructions!$H$15,Instructions!$I$15,IF(Y264&gt;Instructions!$H$16,Instructions!$I$16,IF(Y264&gt;Instructions!$H$17,Instructions!$I$17,Instructions!$I$18))))</f>
        <v>NY-Competitive</v>
      </c>
      <c r="AD264" s="226">
        <f t="shared" si="68"/>
        <v>78722</v>
      </c>
      <c r="AE264" s="226">
        <f t="shared" si="69"/>
        <v>0</v>
      </c>
      <c r="AF264" s="227">
        <f t="shared" si="70"/>
        <v>108</v>
      </c>
      <c r="AG264" s="341">
        <f t="shared" si="71"/>
        <v>78830</v>
      </c>
    </row>
    <row r="265" spans="1:34">
      <c r="A265" s="352" t="s">
        <v>95</v>
      </c>
      <c r="B265" s="427">
        <v>2</v>
      </c>
      <c r="C265" s="220" t="s">
        <v>31</v>
      </c>
      <c r="D265" s="379" t="s">
        <v>596</v>
      </c>
      <c r="E265"/>
      <c r="F265"/>
      <c r="G265" s="381"/>
      <c r="H265"/>
      <c r="I265"/>
      <c r="J265" t="str">
        <f t="shared" si="61"/>
        <v>NY-Yes</v>
      </c>
      <c r="K265" t="str">
        <f t="shared" si="62"/>
        <v>NY-Yes</v>
      </c>
      <c r="L265" s="352"/>
      <c r="M265" s="352"/>
      <c r="N265" s="255">
        <v>1992</v>
      </c>
      <c r="O265" s="416">
        <v>41814</v>
      </c>
      <c r="P265" s="416"/>
      <c r="Q265" s="416">
        <v>95177</v>
      </c>
      <c r="R265" s="416"/>
      <c r="S265" s="416">
        <v>2339</v>
      </c>
      <c r="T265" s="353">
        <f t="shared" si="63"/>
        <v>139330</v>
      </c>
      <c r="U265" s="228"/>
      <c r="V265" s="221">
        <f t="shared" si="64"/>
        <v>95177</v>
      </c>
      <c r="W265" s="388">
        <f t="shared" si="59"/>
        <v>41814</v>
      </c>
      <c r="X265" s="222">
        <f t="shared" si="65"/>
        <v>0.38953653889671586</v>
      </c>
      <c r="Y265" s="421">
        <f t="shared" si="72"/>
        <v>0.38299720088997341</v>
      </c>
      <c r="Z265" s="223">
        <f t="shared" si="66"/>
        <v>0.68310485896791784</v>
      </c>
      <c r="AA265" s="224" t="str">
        <f t="shared" si="60"/>
        <v>NY-No</v>
      </c>
      <c r="AB265" s="225" t="str">
        <f t="shared" si="67"/>
        <v>NY-Rep</v>
      </c>
      <c r="AC265" s="422" t="str">
        <f>C265&amp;"-"&amp;IF(Y265&gt;Instructions!$H$14,Instructions!$I$14,IF(Y265&gt;Instructions!$H$15,Instructions!$I$15,IF(Y265&gt;Instructions!$H$16,Instructions!$I$16,IF(Y265&gt;Instructions!$H$17,Instructions!$I$17,Instructions!$I$18))))</f>
        <v>NY-Landslide</v>
      </c>
      <c r="AD265" s="226">
        <f t="shared" si="68"/>
        <v>41814</v>
      </c>
      <c r="AE265" s="226">
        <f t="shared" si="69"/>
        <v>0</v>
      </c>
      <c r="AF265" s="227">
        <f t="shared" si="70"/>
        <v>2339</v>
      </c>
      <c r="AG265" s="341">
        <f t="shared" si="71"/>
        <v>44153</v>
      </c>
      <c r="AH265" s="413">
        <f>SUM(AG263:AG265)</f>
        <v>193810</v>
      </c>
    </row>
    <row r="266" spans="1:34">
      <c r="A266" s="352" t="s">
        <v>95</v>
      </c>
      <c r="B266" s="427">
        <v>3</v>
      </c>
      <c r="C266" s="220" t="s">
        <v>31</v>
      </c>
      <c r="D266" s="379" t="s">
        <v>597</v>
      </c>
      <c r="E266"/>
      <c r="F266"/>
      <c r="G266"/>
      <c r="H266"/>
      <c r="I266"/>
      <c r="J266" t="str">
        <f t="shared" si="61"/>
        <v>NY-Yes</v>
      </c>
      <c r="K266" t="str">
        <f t="shared" si="62"/>
        <v>NY-Yes</v>
      </c>
      <c r="L266" s="417"/>
      <c r="M266" s="417"/>
      <c r="N266" s="255">
        <v>2000</v>
      </c>
      <c r="O266" s="416">
        <v>90032</v>
      </c>
      <c r="P266" s="416"/>
      <c r="Q266" s="416">
        <v>74269</v>
      </c>
      <c r="R266" s="416"/>
      <c r="S266" s="416">
        <v>74</v>
      </c>
      <c r="T266" s="353">
        <f t="shared" si="63"/>
        <v>164375</v>
      </c>
      <c r="U266" s="228"/>
      <c r="V266" s="221">
        <f t="shared" si="64"/>
        <v>90032</v>
      </c>
      <c r="W266" s="388">
        <f t="shared" si="59"/>
        <v>74269</v>
      </c>
      <c r="X266" s="222">
        <f t="shared" si="65"/>
        <v>9.593976908235495E-2</v>
      </c>
      <c r="Y266" s="421">
        <f t="shared" si="72"/>
        <v>9.5896577946768091E-2</v>
      </c>
      <c r="Z266" s="223">
        <f t="shared" si="66"/>
        <v>0.54772319391634983</v>
      </c>
      <c r="AA266" s="224" t="str">
        <f t="shared" si="60"/>
        <v>NY-No</v>
      </c>
      <c r="AB266" s="225" t="str">
        <f t="shared" si="67"/>
        <v>NY-Dem</v>
      </c>
      <c r="AC266" s="422" t="str">
        <f>C266&amp;"-"&amp;IF(Y266&gt;Instructions!$H$14,Instructions!$I$14,IF(Y266&gt;Instructions!$H$15,Instructions!$I$15,IF(Y266&gt;Instructions!$H$16,Instructions!$I$16,IF(Y266&gt;Instructions!$H$17,Instructions!$I$17,Instructions!$I$18))))</f>
        <v>NY-Competitive</v>
      </c>
      <c r="AD266" s="226">
        <f t="shared" si="68"/>
        <v>0</v>
      </c>
      <c r="AE266" s="226">
        <f t="shared" si="69"/>
        <v>74269</v>
      </c>
      <c r="AF266" s="227">
        <f t="shared" si="70"/>
        <v>74</v>
      </c>
      <c r="AG266" s="341">
        <f t="shared" si="71"/>
        <v>74343</v>
      </c>
      <c r="AH266" s="380"/>
    </row>
    <row r="267" spans="1:34">
      <c r="A267" s="352" t="s">
        <v>95</v>
      </c>
      <c r="B267" s="427">
        <v>4</v>
      </c>
      <c r="C267" s="220" t="s">
        <v>31</v>
      </c>
      <c r="D267" s="379" t="s">
        <v>807</v>
      </c>
      <c r="E267" s="414" t="s">
        <v>364</v>
      </c>
      <c r="F267"/>
      <c r="G267"/>
      <c r="H267"/>
      <c r="I267"/>
      <c r="J267" t="str">
        <f t="shared" si="61"/>
        <v>NY-No</v>
      </c>
      <c r="K267" t="str">
        <f t="shared" si="62"/>
        <v>NY-No</v>
      </c>
      <c r="L267" s="415">
        <v>0</v>
      </c>
      <c r="M267" s="417"/>
      <c r="N267" s="255">
        <v>2014</v>
      </c>
      <c r="O267" s="416">
        <v>89793</v>
      </c>
      <c r="P267" s="416"/>
      <c r="Q267" s="416">
        <v>80127</v>
      </c>
      <c r="R267" s="416"/>
      <c r="S267" s="416">
        <v>179</v>
      </c>
      <c r="T267" s="353">
        <f t="shared" si="63"/>
        <v>170099</v>
      </c>
      <c r="U267" s="228"/>
      <c r="V267" s="221">
        <f t="shared" si="64"/>
        <v>89793</v>
      </c>
      <c r="W267" s="388">
        <f t="shared" si="59"/>
        <v>80127</v>
      </c>
      <c r="X267" s="222">
        <f t="shared" si="65"/>
        <v>5.6885593220338981E-2</v>
      </c>
      <c r="Y267" s="421">
        <f t="shared" si="72"/>
        <v>5.6825730897888893E-2</v>
      </c>
      <c r="Z267" s="223">
        <f t="shared" si="66"/>
        <v>0.52788670127396398</v>
      </c>
      <c r="AA267" s="224" t="str">
        <f t="shared" si="60"/>
        <v>NY-No</v>
      </c>
      <c r="AB267" s="225" t="str">
        <f t="shared" si="67"/>
        <v>NY-Dem</v>
      </c>
      <c r="AC267" s="422" t="str">
        <f>C267&amp;"-"&amp;IF(Y267&gt;Instructions!$H$14,Instructions!$I$14,IF(Y267&gt;Instructions!$H$15,Instructions!$I$15,IF(Y267&gt;Instructions!$H$16,Instructions!$I$16,IF(Y267&gt;Instructions!$H$17,Instructions!$I$17,Instructions!$I$18))))</f>
        <v>NY-Competitive</v>
      </c>
      <c r="AD267" s="226">
        <f t="shared" si="68"/>
        <v>0</v>
      </c>
      <c r="AE267" s="226">
        <f t="shared" si="69"/>
        <v>80127</v>
      </c>
      <c r="AF267" s="227">
        <f t="shared" si="70"/>
        <v>179</v>
      </c>
      <c r="AG267" s="341">
        <f t="shared" si="71"/>
        <v>80306</v>
      </c>
      <c r="AH267" s="380"/>
    </row>
    <row r="268" spans="1:34">
      <c r="A268" s="352" t="s">
        <v>95</v>
      </c>
      <c r="B268" s="427">
        <v>5</v>
      </c>
      <c r="C268" s="220" t="s">
        <v>31</v>
      </c>
      <c r="D268" s="379" t="s">
        <v>598</v>
      </c>
      <c r="E268"/>
      <c r="F268" s="414" t="s">
        <v>364</v>
      </c>
      <c r="G268"/>
      <c r="H268"/>
      <c r="I268"/>
      <c r="J268" t="str">
        <f t="shared" si="61"/>
        <v>NY-Yes</v>
      </c>
      <c r="K268" t="str">
        <f t="shared" si="62"/>
        <v>NY-Yes</v>
      </c>
      <c r="L268" s="417"/>
      <c r="M268" s="417"/>
      <c r="N268" s="255">
        <v>1998</v>
      </c>
      <c r="O268" s="416">
        <v>72454</v>
      </c>
      <c r="P268" s="416"/>
      <c r="Q268" s="416">
        <v>0</v>
      </c>
      <c r="R268" s="416"/>
      <c r="S268" s="416">
        <v>17451</v>
      </c>
      <c r="T268" s="353">
        <f t="shared" si="63"/>
        <v>89905</v>
      </c>
      <c r="U268" s="396"/>
      <c r="V268" s="221">
        <f t="shared" si="64"/>
        <v>72454</v>
      </c>
      <c r="W268" s="388">
        <v>3618</v>
      </c>
      <c r="X268" s="222">
        <f t="shared" si="65"/>
        <v>1</v>
      </c>
      <c r="Y268" s="421">
        <f t="shared" si="72"/>
        <v>0.76565263333518718</v>
      </c>
      <c r="Z268" s="223">
        <f t="shared" si="66"/>
        <v>0.80589511150659032</v>
      </c>
      <c r="AA268" s="224" t="str">
        <f t="shared" si="60"/>
        <v>NY-Yes</v>
      </c>
      <c r="AB268" s="225" t="str">
        <f t="shared" si="67"/>
        <v>NY-Dem</v>
      </c>
      <c r="AC268" s="422" t="str">
        <f>C268&amp;"-"&amp;IF(Y268&gt;Instructions!$H$14,Instructions!$I$14,IF(Y268&gt;Instructions!$H$15,Instructions!$I$15,IF(Y268&gt;Instructions!$H$16,Instructions!$I$16,IF(Y268&gt;Instructions!$H$17,Instructions!$I$17,Instructions!$I$18))))</f>
        <v>NY-No contest</v>
      </c>
      <c r="AD268" s="226">
        <f t="shared" si="68"/>
        <v>0</v>
      </c>
      <c r="AE268" s="226">
        <f t="shared" si="69"/>
        <v>0</v>
      </c>
      <c r="AF268" s="227">
        <f t="shared" si="70"/>
        <v>17451</v>
      </c>
      <c r="AG268" s="341">
        <f t="shared" si="71"/>
        <v>17451</v>
      </c>
    </row>
    <row r="269" spans="1:34">
      <c r="A269" s="352" t="s">
        <v>95</v>
      </c>
      <c r="B269" s="427">
        <v>6</v>
      </c>
      <c r="C269" s="220" t="s">
        <v>31</v>
      </c>
      <c r="D269" s="379" t="s">
        <v>599</v>
      </c>
      <c r="E269" s="414" t="s">
        <v>364</v>
      </c>
      <c r="F269"/>
      <c r="G269"/>
      <c r="H269" s="414" t="s">
        <v>364</v>
      </c>
      <c r="I269"/>
      <c r="J269" t="str">
        <f t="shared" si="61"/>
        <v>NY-Yes</v>
      </c>
      <c r="K269" t="str">
        <f t="shared" si="62"/>
        <v>NY-Yes</v>
      </c>
      <c r="L269" s="354"/>
      <c r="M269" s="354"/>
      <c r="N269" s="255">
        <v>2012</v>
      </c>
      <c r="O269" s="416">
        <v>55368</v>
      </c>
      <c r="P269" s="416"/>
      <c r="Q269" s="416">
        <v>0</v>
      </c>
      <c r="R269" s="416"/>
      <c r="S269" s="416">
        <v>595</v>
      </c>
      <c r="T269" s="353">
        <f t="shared" si="63"/>
        <v>55963</v>
      </c>
      <c r="U269" s="228"/>
      <c r="V269" s="221">
        <f t="shared" si="64"/>
        <v>55368</v>
      </c>
      <c r="W269" s="388">
        <f t="shared" si="59"/>
        <v>595</v>
      </c>
      <c r="X269" s="222">
        <f t="shared" si="65"/>
        <v>1</v>
      </c>
      <c r="Y269" s="421">
        <f t="shared" si="72"/>
        <v>0.97873595053874873</v>
      </c>
      <c r="Z269" s="223">
        <f t="shared" si="66"/>
        <v>0.98936797526937437</v>
      </c>
      <c r="AA269" s="224" t="str">
        <f t="shared" si="60"/>
        <v>NY-Yes</v>
      </c>
      <c r="AB269" s="225" t="str">
        <f t="shared" si="67"/>
        <v>NY-Dem</v>
      </c>
      <c r="AC269" s="422" t="str">
        <f>C269&amp;"-"&amp;IF(Y269&gt;Instructions!$H$14,Instructions!$I$14,IF(Y269&gt;Instructions!$H$15,Instructions!$I$15,IF(Y269&gt;Instructions!$H$16,Instructions!$I$16,IF(Y269&gt;Instructions!$H$17,Instructions!$I$17,Instructions!$I$18))))</f>
        <v>NY-No contest</v>
      </c>
      <c r="AD269" s="226">
        <f t="shared" si="68"/>
        <v>0</v>
      </c>
      <c r="AE269" s="226">
        <f t="shared" si="69"/>
        <v>0</v>
      </c>
      <c r="AF269" s="227">
        <f t="shared" si="70"/>
        <v>595</v>
      </c>
      <c r="AG269" s="341">
        <f t="shared" si="71"/>
        <v>595</v>
      </c>
    </row>
    <row r="270" spans="1:34">
      <c r="A270" s="352" t="s">
        <v>95</v>
      </c>
      <c r="B270" s="427">
        <v>7</v>
      </c>
      <c r="C270" s="220" t="s">
        <v>31</v>
      </c>
      <c r="D270" s="379" t="s">
        <v>600</v>
      </c>
      <c r="E270" s="414" t="s">
        <v>364</v>
      </c>
      <c r="F270"/>
      <c r="G270" s="414" t="s">
        <v>364</v>
      </c>
      <c r="H270"/>
      <c r="I270"/>
      <c r="J270" t="str">
        <f t="shared" si="61"/>
        <v>NY-Yes</v>
      </c>
      <c r="K270" t="str">
        <f t="shared" si="62"/>
        <v>NY-Yes</v>
      </c>
      <c r="L270" s="417"/>
      <c r="M270" s="417"/>
      <c r="N270" s="255">
        <v>1992</v>
      </c>
      <c r="O270" s="416">
        <v>56593</v>
      </c>
      <c r="P270" s="416"/>
      <c r="Q270" s="416">
        <v>5713</v>
      </c>
      <c r="R270" s="416"/>
      <c r="S270" s="416">
        <v>1506</v>
      </c>
      <c r="T270" s="353">
        <f t="shared" si="63"/>
        <v>63812</v>
      </c>
      <c r="U270" s="228"/>
      <c r="V270" s="221">
        <f t="shared" si="64"/>
        <v>56593</v>
      </c>
      <c r="W270" s="388">
        <f t="shared" si="59"/>
        <v>5713</v>
      </c>
      <c r="X270" s="222">
        <f t="shared" si="65"/>
        <v>0.81661477225307355</v>
      </c>
      <c r="Y270" s="421">
        <f t="shared" si="72"/>
        <v>0.79734219269102991</v>
      </c>
      <c r="Z270" s="223">
        <f t="shared" si="66"/>
        <v>0.8868708079984956</v>
      </c>
      <c r="AA270" s="224" t="str">
        <f t="shared" si="60"/>
        <v>NY-No</v>
      </c>
      <c r="AB270" s="225" t="str">
        <f t="shared" si="67"/>
        <v>NY-Dem</v>
      </c>
      <c r="AC270" s="422" t="str">
        <f>C270&amp;"-"&amp;IF(Y270&gt;Instructions!$H$14,Instructions!$I$14,IF(Y270&gt;Instructions!$H$15,Instructions!$I$15,IF(Y270&gt;Instructions!$H$16,Instructions!$I$16,IF(Y270&gt;Instructions!$H$17,Instructions!$I$17,Instructions!$I$18))))</f>
        <v>NY-No contest</v>
      </c>
      <c r="AD270" s="226">
        <f t="shared" si="68"/>
        <v>0</v>
      </c>
      <c r="AE270" s="226">
        <f t="shared" si="69"/>
        <v>5713</v>
      </c>
      <c r="AF270" s="227">
        <f t="shared" si="70"/>
        <v>1506</v>
      </c>
      <c r="AG270" s="341">
        <f t="shared" si="71"/>
        <v>7219</v>
      </c>
      <c r="AH270" s="380"/>
    </row>
    <row r="271" spans="1:34">
      <c r="A271" s="352" t="s">
        <v>95</v>
      </c>
      <c r="B271" s="427">
        <v>8</v>
      </c>
      <c r="C271" s="220" t="s">
        <v>31</v>
      </c>
      <c r="D271" s="379" t="s">
        <v>601</v>
      </c>
      <c r="E271"/>
      <c r="F271" s="414" t="s">
        <v>364</v>
      </c>
      <c r="G271" s="379"/>
      <c r="H271"/>
      <c r="I271"/>
      <c r="J271" t="str">
        <f t="shared" si="61"/>
        <v>NY-Yes</v>
      </c>
      <c r="K271" t="str">
        <f t="shared" si="62"/>
        <v>NY-Yes</v>
      </c>
      <c r="L271" s="417"/>
      <c r="M271" s="417"/>
      <c r="N271" s="255">
        <v>1982</v>
      </c>
      <c r="O271" s="416">
        <v>77255</v>
      </c>
      <c r="P271" s="416"/>
      <c r="Q271" s="416">
        <v>0</v>
      </c>
      <c r="R271" s="416"/>
      <c r="S271" s="416">
        <v>6744</v>
      </c>
      <c r="T271" s="353">
        <f t="shared" si="63"/>
        <v>83999</v>
      </c>
      <c r="U271" s="228"/>
      <c r="V271" s="221">
        <f t="shared" si="64"/>
        <v>77255</v>
      </c>
      <c r="W271" s="388">
        <f t="shared" si="59"/>
        <v>6744</v>
      </c>
      <c r="X271" s="222">
        <f t="shared" si="65"/>
        <v>1</v>
      </c>
      <c r="Y271" s="421">
        <f t="shared" si="72"/>
        <v>0.83942665984118858</v>
      </c>
      <c r="Z271" s="223">
        <f t="shared" si="66"/>
        <v>0.91971332992059429</v>
      </c>
      <c r="AA271" s="224" t="str">
        <f t="shared" si="60"/>
        <v>NY-Yes</v>
      </c>
      <c r="AB271" s="225" t="str">
        <f t="shared" si="67"/>
        <v>NY-Dem</v>
      </c>
      <c r="AC271" s="422" t="str">
        <f>C271&amp;"-"&amp;IF(Y271&gt;Instructions!$H$14,Instructions!$I$14,IF(Y271&gt;Instructions!$H$15,Instructions!$I$15,IF(Y271&gt;Instructions!$H$16,Instructions!$I$16,IF(Y271&gt;Instructions!$H$17,Instructions!$I$17,Instructions!$I$18))))</f>
        <v>NY-No contest</v>
      </c>
      <c r="AD271" s="226">
        <f t="shared" si="68"/>
        <v>0</v>
      </c>
      <c r="AE271" s="226">
        <f t="shared" si="69"/>
        <v>0</v>
      </c>
      <c r="AF271" s="227">
        <f t="shared" si="70"/>
        <v>6744</v>
      </c>
      <c r="AG271" s="341">
        <f t="shared" si="71"/>
        <v>6744</v>
      </c>
      <c r="AH271" s="380"/>
    </row>
    <row r="272" spans="1:34">
      <c r="A272" s="352" t="s">
        <v>95</v>
      </c>
      <c r="B272" s="427">
        <v>9</v>
      </c>
      <c r="C272" s="220" t="s">
        <v>31</v>
      </c>
      <c r="D272" s="379" t="s">
        <v>602</v>
      </c>
      <c r="E272" s="414" t="s">
        <v>364</v>
      </c>
      <c r="F272" s="414" t="s">
        <v>364</v>
      </c>
      <c r="G272" s="379"/>
      <c r="H272"/>
      <c r="I272"/>
      <c r="J272" t="str">
        <f t="shared" si="61"/>
        <v>NY-Yes</v>
      </c>
      <c r="K272" t="str">
        <f t="shared" si="62"/>
        <v>NY-Yes</v>
      </c>
      <c r="L272" s="417"/>
      <c r="M272" s="417"/>
      <c r="N272" s="255">
        <v>2006</v>
      </c>
      <c r="O272" s="416">
        <v>82659</v>
      </c>
      <c r="P272" s="416"/>
      <c r="Q272" s="416">
        <v>0</v>
      </c>
      <c r="R272" s="416"/>
      <c r="S272" s="416">
        <v>9910</v>
      </c>
      <c r="T272" s="353">
        <f t="shared" si="63"/>
        <v>92569</v>
      </c>
      <c r="U272" s="228"/>
      <c r="V272" s="221">
        <f t="shared" si="64"/>
        <v>82659</v>
      </c>
      <c r="W272" s="388">
        <f t="shared" si="59"/>
        <v>9910</v>
      </c>
      <c r="X272" s="222">
        <f t="shared" si="65"/>
        <v>1</v>
      </c>
      <c r="Y272" s="421">
        <f t="shared" si="72"/>
        <v>0.78588944463049182</v>
      </c>
      <c r="Z272" s="223">
        <f t="shared" si="66"/>
        <v>0.89294472231524591</v>
      </c>
      <c r="AA272" s="224" t="str">
        <f t="shared" si="60"/>
        <v>NY-Yes</v>
      </c>
      <c r="AB272" s="225" t="str">
        <f t="shared" si="67"/>
        <v>NY-Dem</v>
      </c>
      <c r="AC272" s="422" t="str">
        <f>C272&amp;"-"&amp;IF(Y272&gt;Instructions!$H$14,Instructions!$I$14,IF(Y272&gt;Instructions!$H$15,Instructions!$I$15,IF(Y272&gt;Instructions!$H$16,Instructions!$I$16,IF(Y272&gt;Instructions!$H$17,Instructions!$I$17,Instructions!$I$18))))</f>
        <v>NY-No contest</v>
      </c>
      <c r="AD272" s="226">
        <f t="shared" si="68"/>
        <v>0</v>
      </c>
      <c r="AE272" s="226">
        <f t="shared" si="69"/>
        <v>0</v>
      </c>
      <c r="AF272" s="227">
        <f t="shared" si="70"/>
        <v>9910</v>
      </c>
      <c r="AG272" s="341">
        <f t="shared" si="71"/>
        <v>9910</v>
      </c>
    </row>
    <row r="273" spans="1:34">
      <c r="A273" s="352" t="s">
        <v>95</v>
      </c>
      <c r="B273" s="427">
        <v>10</v>
      </c>
      <c r="C273" s="220" t="s">
        <v>31</v>
      </c>
      <c r="D273" s="379" t="s">
        <v>603</v>
      </c>
      <c r="E273" s="379"/>
      <c r="F273" s="379"/>
      <c r="G273"/>
      <c r="H273"/>
      <c r="I273"/>
      <c r="J273" t="str">
        <f t="shared" si="61"/>
        <v>NY-Yes</v>
      </c>
      <c r="K273" t="str">
        <f t="shared" si="62"/>
        <v>NY-Yes</v>
      </c>
      <c r="L273" s="417"/>
      <c r="M273" s="417"/>
      <c r="N273" s="255">
        <v>1992</v>
      </c>
      <c r="O273" s="416">
        <v>89080</v>
      </c>
      <c r="P273" s="416"/>
      <c r="Q273" s="416">
        <v>0</v>
      </c>
      <c r="R273" s="416"/>
      <c r="S273" s="416">
        <v>12801</v>
      </c>
      <c r="T273" s="353">
        <f t="shared" si="63"/>
        <v>101881</v>
      </c>
      <c r="U273" s="228"/>
      <c r="V273" s="221">
        <f t="shared" si="64"/>
        <v>89080</v>
      </c>
      <c r="W273" s="388">
        <f t="shared" si="59"/>
        <v>12801</v>
      </c>
      <c r="X273" s="222">
        <f t="shared" si="65"/>
        <v>1</v>
      </c>
      <c r="Y273" s="421">
        <f t="shared" si="72"/>
        <v>0.74870682462873361</v>
      </c>
      <c r="Z273" s="223">
        <f t="shared" si="66"/>
        <v>0.87435341231436681</v>
      </c>
      <c r="AA273" s="224" t="str">
        <f t="shared" si="60"/>
        <v>NY-Yes</v>
      </c>
      <c r="AB273" s="225" t="str">
        <f t="shared" si="67"/>
        <v>NY-Dem</v>
      </c>
      <c r="AC273" s="422" t="str">
        <f>C273&amp;"-"&amp;IF(Y273&gt;Instructions!$H$14,Instructions!$I$14,IF(Y273&gt;Instructions!$H$15,Instructions!$I$15,IF(Y273&gt;Instructions!$H$16,Instructions!$I$16,IF(Y273&gt;Instructions!$H$17,Instructions!$I$17,Instructions!$I$18))))</f>
        <v>NY-No contest</v>
      </c>
      <c r="AD273" s="226">
        <f t="shared" si="68"/>
        <v>0</v>
      </c>
      <c r="AE273" s="226">
        <f t="shared" si="69"/>
        <v>0</v>
      </c>
      <c r="AF273" s="227">
        <f t="shared" si="70"/>
        <v>12801</v>
      </c>
      <c r="AG273" s="341">
        <f t="shared" si="71"/>
        <v>12801</v>
      </c>
      <c r="AH273" s="380"/>
    </row>
    <row r="274" spans="1:34">
      <c r="A274" s="352" t="s">
        <v>95</v>
      </c>
      <c r="B274" s="427">
        <v>11</v>
      </c>
      <c r="C274" s="220" t="s">
        <v>31</v>
      </c>
      <c r="D274" s="379" t="s">
        <v>604</v>
      </c>
      <c r="E274"/>
      <c r="F274"/>
      <c r="G274"/>
      <c r="H274"/>
      <c r="I274"/>
      <c r="J274" t="str">
        <f t="shared" si="61"/>
        <v>NY-Yes</v>
      </c>
      <c r="K274" t="str">
        <f t="shared" si="62"/>
        <v>NY-Yes</v>
      </c>
      <c r="L274" s="415"/>
      <c r="M274" s="415"/>
      <c r="N274" s="255">
        <v>2010</v>
      </c>
      <c r="O274" s="416">
        <v>45244</v>
      </c>
      <c r="P274" s="416"/>
      <c r="Q274" s="416">
        <v>58886</v>
      </c>
      <c r="R274" s="416"/>
      <c r="S274" s="416">
        <v>3233</v>
      </c>
      <c r="T274" s="353">
        <f t="shared" si="63"/>
        <v>107363</v>
      </c>
      <c r="U274" s="228"/>
      <c r="V274" s="221">
        <f t="shared" si="64"/>
        <v>58886</v>
      </c>
      <c r="W274" s="388">
        <f t="shared" si="59"/>
        <v>45244</v>
      </c>
      <c r="X274" s="222">
        <f t="shared" si="65"/>
        <v>0.13100931527897819</v>
      </c>
      <c r="Y274" s="421">
        <f t="shared" si="72"/>
        <v>0.12706425863658805</v>
      </c>
      <c r="Z274" s="223">
        <f t="shared" si="66"/>
        <v>0.5484757318629323</v>
      </c>
      <c r="AA274" s="224" t="str">
        <f t="shared" si="60"/>
        <v>NY-No</v>
      </c>
      <c r="AB274" s="225" t="str">
        <f t="shared" si="67"/>
        <v>NY-Rep</v>
      </c>
      <c r="AC274" s="422" t="str">
        <f>C274&amp;"-"&amp;IF(Y274&gt;Instructions!$H$14,Instructions!$I$14,IF(Y274&gt;Instructions!$H$15,Instructions!$I$15,IF(Y274&gt;Instructions!$H$16,Instructions!$I$16,IF(Y274&gt;Instructions!$H$17,Instructions!$I$17,Instructions!$I$18))))</f>
        <v>NY-Opportunity</v>
      </c>
      <c r="AD274" s="226">
        <f t="shared" si="68"/>
        <v>45244</v>
      </c>
      <c r="AE274" s="226">
        <f t="shared" si="69"/>
        <v>0</v>
      </c>
      <c r="AF274" s="227">
        <f t="shared" si="70"/>
        <v>3233</v>
      </c>
      <c r="AG274" s="341">
        <f t="shared" si="71"/>
        <v>48477</v>
      </c>
      <c r="AH274" s="380"/>
    </row>
    <row r="275" spans="1:34">
      <c r="A275" s="352" t="s">
        <v>95</v>
      </c>
      <c r="B275" s="427">
        <v>12</v>
      </c>
      <c r="C275" s="220" t="s">
        <v>31</v>
      </c>
      <c r="D275" s="379" t="s">
        <v>605</v>
      </c>
      <c r="E275" s="414" t="s">
        <v>364</v>
      </c>
      <c r="F275" s="381"/>
      <c r="G275" s="379"/>
      <c r="H275"/>
      <c r="I275"/>
      <c r="J275" t="str">
        <f t="shared" si="61"/>
        <v>NY-Yes</v>
      </c>
      <c r="K275" t="str">
        <f t="shared" si="62"/>
        <v>NY-Yes</v>
      </c>
      <c r="L275" s="417"/>
      <c r="M275" s="417"/>
      <c r="N275" s="255">
        <v>1992</v>
      </c>
      <c r="O275" s="416">
        <v>90603</v>
      </c>
      <c r="P275" s="416"/>
      <c r="Q275" s="416">
        <v>22731</v>
      </c>
      <c r="R275" s="416"/>
      <c r="S275" s="416">
        <v>95</v>
      </c>
      <c r="T275" s="353">
        <f t="shared" si="63"/>
        <v>113429</v>
      </c>
      <c r="U275" s="228"/>
      <c r="V275" s="221">
        <f t="shared" si="64"/>
        <v>90603</v>
      </c>
      <c r="W275" s="388">
        <f t="shared" si="59"/>
        <v>22731</v>
      </c>
      <c r="X275" s="222">
        <f t="shared" si="65"/>
        <v>0.59886706548785007</v>
      </c>
      <c r="Y275" s="421">
        <f t="shared" si="72"/>
        <v>0.59836549735958178</v>
      </c>
      <c r="Z275" s="223">
        <f t="shared" si="66"/>
        <v>0.79876398451895014</v>
      </c>
      <c r="AA275" s="224" t="str">
        <f t="shared" si="60"/>
        <v>NY-No</v>
      </c>
      <c r="AB275" s="225" t="str">
        <f t="shared" si="67"/>
        <v>NY-Dem</v>
      </c>
      <c r="AC275" s="422" t="str">
        <f>C275&amp;"-"&amp;IF(Y275&gt;Instructions!$H$14,Instructions!$I$14,IF(Y275&gt;Instructions!$H$15,Instructions!$I$15,IF(Y275&gt;Instructions!$H$16,Instructions!$I$16,IF(Y275&gt;Instructions!$H$17,Instructions!$I$17,Instructions!$I$18))))</f>
        <v>NY-No contest</v>
      </c>
      <c r="AD275" s="226">
        <f t="shared" si="68"/>
        <v>0</v>
      </c>
      <c r="AE275" s="226">
        <f t="shared" si="69"/>
        <v>22731</v>
      </c>
      <c r="AF275" s="227">
        <f t="shared" si="70"/>
        <v>95</v>
      </c>
      <c r="AG275" s="341">
        <f t="shared" si="71"/>
        <v>22826</v>
      </c>
      <c r="AH275" s="380"/>
    </row>
    <row r="276" spans="1:34">
      <c r="A276" s="352" t="s">
        <v>95</v>
      </c>
      <c r="B276" s="427">
        <v>13</v>
      </c>
      <c r="C276" s="220" t="s">
        <v>31</v>
      </c>
      <c r="D276" s="379" t="s">
        <v>606</v>
      </c>
      <c r="E276" s="414"/>
      <c r="F276" s="414" t="s">
        <v>364</v>
      </c>
      <c r="G276" s="379"/>
      <c r="H276"/>
      <c r="I276"/>
      <c r="J276" t="str">
        <f t="shared" si="61"/>
        <v>NY-Yes</v>
      </c>
      <c r="K276" t="str">
        <f t="shared" si="62"/>
        <v>NY-Yes</v>
      </c>
      <c r="L276" s="417"/>
      <c r="M276" s="417"/>
      <c r="N276" s="255">
        <v>1970</v>
      </c>
      <c r="O276" s="416">
        <v>68396</v>
      </c>
      <c r="P276" s="416"/>
      <c r="Q276" s="416">
        <v>0</v>
      </c>
      <c r="R276" s="416"/>
      <c r="S276" s="416">
        <v>9957</v>
      </c>
      <c r="T276" s="353">
        <f t="shared" si="63"/>
        <v>78353</v>
      </c>
      <c r="U276" s="228"/>
      <c r="V276" s="221">
        <f t="shared" si="64"/>
        <v>68396</v>
      </c>
      <c r="W276" s="388">
        <f t="shared" si="59"/>
        <v>9957</v>
      </c>
      <c r="X276" s="222">
        <f t="shared" si="65"/>
        <v>1</v>
      </c>
      <c r="Y276" s="421">
        <f t="shared" si="72"/>
        <v>0.74584253315125149</v>
      </c>
      <c r="Z276" s="223">
        <f t="shared" si="66"/>
        <v>0.87292126657562574</v>
      </c>
      <c r="AA276" s="224" t="str">
        <f t="shared" si="60"/>
        <v>NY-Yes</v>
      </c>
      <c r="AB276" s="225" t="str">
        <f t="shared" si="67"/>
        <v>NY-Dem</v>
      </c>
      <c r="AC276" s="422" t="str">
        <f>C276&amp;"-"&amp;IF(Y276&gt;Instructions!$H$14,Instructions!$I$14,IF(Y276&gt;Instructions!$H$15,Instructions!$I$15,IF(Y276&gt;Instructions!$H$16,Instructions!$I$16,IF(Y276&gt;Instructions!$H$17,Instructions!$I$17,Instructions!$I$18))))</f>
        <v>NY-No contest</v>
      </c>
      <c r="AD276" s="226">
        <f t="shared" si="68"/>
        <v>0</v>
      </c>
      <c r="AE276" s="226">
        <f t="shared" si="69"/>
        <v>0</v>
      </c>
      <c r="AF276" s="227">
        <f t="shared" si="70"/>
        <v>9957</v>
      </c>
      <c r="AG276" s="341">
        <f t="shared" si="71"/>
        <v>9957</v>
      </c>
      <c r="AH276" s="380"/>
    </row>
    <row r="277" spans="1:34">
      <c r="A277" s="352" t="s">
        <v>95</v>
      </c>
      <c r="B277" s="427">
        <v>14</v>
      </c>
      <c r="C277" s="220" t="s">
        <v>31</v>
      </c>
      <c r="D277" s="379" t="s">
        <v>607</v>
      </c>
      <c r="E277" s="414"/>
      <c r="F277" s="379"/>
      <c r="G277" s="381"/>
      <c r="H277"/>
      <c r="I277"/>
      <c r="J277" t="str">
        <f t="shared" si="61"/>
        <v>NY-Yes</v>
      </c>
      <c r="K277" t="str">
        <f t="shared" si="62"/>
        <v>NY-Yes</v>
      </c>
      <c r="L277" s="354"/>
      <c r="M277" s="354"/>
      <c r="N277" s="255">
        <v>1998</v>
      </c>
      <c r="O277" s="416">
        <v>50352</v>
      </c>
      <c r="P277" s="416"/>
      <c r="Q277" s="416">
        <v>0</v>
      </c>
      <c r="R277" s="416"/>
      <c r="S277" s="416">
        <v>6852</v>
      </c>
      <c r="T277" s="353">
        <f t="shared" si="63"/>
        <v>57204</v>
      </c>
      <c r="U277" s="228"/>
      <c r="V277" s="221">
        <f t="shared" si="64"/>
        <v>50352</v>
      </c>
      <c r="W277" s="388">
        <f t="shared" si="59"/>
        <v>6852</v>
      </c>
      <c r="X277" s="222">
        <f t="shared" si="65"/>
        <v>1</v>
      </c>
      <c r="Y277" s="421">
        <f t="shared" si="72"/>
        <v>0.76043633312355774</v>
      </c>
      <c r="Z277" s="223">
        <f t="shared" si="66"/>
        <v>0.88021816656177887</v>
      </c>
      <c r="AA277" s="224" t="str">
        <f t="shared" si="60"/>
        <v>NY-Yes</v>
      </c>
      <c r="AB277" s="225" t="str">
        <f t="shared" si="67"/>
        <v>NY-Dem</v>
      </c>
      <c r="AC277" s="422" t="str">
        <f>C277&amp;"-"&amp;IF(Y277&gt;Instructions!$H$14,Instructions!$I$14,IF(Y277&gt;Instructions!$H$15,Instructions!$I$15,IF(Y277&gt;Instructions!$H$16,Instructions!$I$16,IF(Y277&gt;Instructions!$H$17,Instructions!$I$17,Instructions!$I$18))))</f>
        <v>NY-No contest</v>
      </c>
      <c r="AD277" s="226">
        <f t="shared" si="68"/>
        <v>0</v>
      </c>
      <c r="AE277" s="226">
        <f t="shared" si="69"/>
        <v>0</v>
      </c>
      <c r="AF277" s="227">
        <f t="shared" si="70"/>
        <v>6852</v>
      </c>
      <c r="AG277" s="341">
        <f t="shared" si="71"/>
        <v>6852</v>
      </c>
    </row>
    <row r="278" spans="1:34">
      <c r="A278" s="352" t="s">
        <v>95</v>
      </c>
      <c r="B278" s="426">
        <v>15</v>
      </c>
      <c r="C278" s="220" t="s">
        <v>31</v>
      </c>
      <c r="D278" s="379" t="s">
        <v>608</v>
      </c>
      <c r="E278" s="379"/>
      <c r="F278" s="379"/>
      <c r="G278" s="414" t="s">
        <v>364</v>
      </c>
      <c r="H278"/>
      <c r="I278"/>
      <c r="J278" t="str">
        <f t="shared" si="61"/>
        <v>NY-Yes</v>
      </c>
      <c r="K278" t="str">
        <f t="shared" si="62"/>
        <v>NY-Yes</v>
      </c>
      <c r="L278" s="417"/>
      <c r="M278" s="417"/>
      <c r="N278" s="255">
        <v>1990</v>
      </c>
      <c r="O278" s="416">
        <v>51665</v>
      </c>
      <c r="P278" s="416"/>
      <c r="Q278" s="416">
        <v>0</v>
      </c>
      <c r="R278" s="416"/>
      <c r="S278" s="416">
        <v>5838</v>
      </c>
      <c r="T278" s="353">
        <f t="shared" si="63"/>
        <v>57503</v>
      </c>
      <c r="U278" s="228"/>
      <c r="V278" s="221">
        <f t="shared" si="64"/>
        <v>51665</v>
      </c>
      <c r="W278" s="388">
        <v>972</v>
      </c>
      <c r="X278" s="222">
        <f t="shared" si="65"/>
        <v>1</v>
      </c>
      <c r="Y278" s="421">
        <f t="shared" si="72"/>
        <v>0.88157139627497694</v>
      </c>
      <c r="Z278" s="223">
        <f t="shared" si="66"/>
        <v>0.89847486218110362</v>
      </c>
      <c r="AA278" s="224" t="str">
        <f t="shared" si="60"/>
        <v>NY-Yes</v>
      </c>
      <c r="AB278" s="225" t="str">
        <f t="shared" si="67"/>
        <v>NY-Dem</v>
      </c>
      <c r="AC278" s="422" t="str">
        <f>C278&amp;"-"&amp;IF(Y278&gt;Instructions!$H$14,Instructions!$I$14,IF(Y278&gt;Instructions!$H$15,Instructions!$I$15,IF(Y278&gt;Instructions!$H$16,Instructions!$I$16,IF(Y278&gt;Instructions!$H$17,Instructions!$I$17,Instructions!$I$18))))</f>
        <v>NY-No contest</v>
      </c>
      <c r="AD278" s="226">
        <f t="shared" si="68"/>
        <v>0</v>
      </c>
      <c r="AE278" s="226">
        <f t="shared" si="69"/>
        <v>0</v>
      </c>
      <c r="AF278" s="227">
        <f t="shared" si="70"/>
        <v>5838</v>
      </c>
      <c r="AG278" s="341">
        <f t="shared" si="71"/>
        <v>5838</v>
      </c>
    </row>
    <row r="279" spans="1:34">
      <c r="A279" s="352" t="s">
        <v>95</v>
      </c>
      <c r="B279" s="427">
        <v>16</v>
      </c>
      <c r="C279" s="220" t="s">
        <v>31</v>
      </c>
      <c r="D279" s="379" t="s">
        <v>609</v>
      </c>
      <c r="E279" s="381"/>
      <c r="F279"/>
      <c r="G279"/>
      <c r="H279"/>
      <c r="I279"/>
      <c r="J279" t="str">
        <f t="shared" si="61"/>
        <v>NY-Yes</v>
      </c>
      <c r="K279" t="str">
        <f t="shared" si="62"/>
        <v>NY-Yes</v>
      </c>
      <c r="L279" s="417"/>
      <c r="M279" s="417"/>
      <c r="N279" s="255">
        <v>1988</v>
      </c>
      <c r="O279" s="416">
        <v>99658</v>
      </c>
      <c r="P279" s="416"/>
      <c r="Q279" s="416">
        <v>0</v>
      </c>
      <c r="R279" s="416"/>
      <c r="S279" s="416">
        <v>733</v>
      </c>
      <c r="T279" s="353">
        <f t="shared" si="63"/>
        <v>100391</v>
      </c>
      <c r="U279" s="228"/>
      <c r="V279" s="221">
        <f t="shared" si="64"/>
        <v>99658</v>
      </c>
      <c r="W279" s="388">
        <f t="shared" si="59"/>
        <v>733</v>
      </c>
      <c r="X279" s="222">
        <f t="shared" si="65"/>
        <v>1</v>
      </c>
      <c r="Y279" s="421">
        <f t="shared" si="72"/>
        <v>0.98539709734936398</v>
      </c>
      <c r="Z279" s="223">
        <f t="shared" si="66"/>
        <v>0.99269854867468199</v>
      </c>
      <c r="AA279" s="224" t="str">
        <f t="shared" si="60"/>
        <v>NY-Yes</v>
      </c>
      <c r="AB279" s="225" t="str">
        <f t="shared" si="67"/>
        <v>NY-Dem</v>
      </c>
      <c r="AC279" s="422" t="str">
        <f>C279&amp;"-"&amp;IF(Y279&gt;Instructions!$H$14,Instructions!$I$14,IF(Y279&gt;Instructions!$H$15,Instructions!$I$15,IF(Y279&gt;Instructions!$H$16,Instructions!$I$16,IF(Y279&gt;Instructions!$H$17,Instructions!$I$17,Instructions!$I$18))))</f>
        <v>NY-No contest</v>
      </c>
      <c r="AD279" s="226">
        <f t="shared" si="68"/>
        <v>0</v>
      </c>
      <c r="AE279" s="226">
        <f t="shared" si="69"/>
        <v>0</v>
      </c>
      <c r="AF279" s="227">
        <f t="shared" si="70"/>
        <v>733</v>
      </c>
      <c r="AG279" s="341">
        <f t="shared" si="71"/>
        <v>733</v>
      </c>
    </row>
    <row r="280" spans="1:34">
      <c r="A280" s="352" t="s">
        <v>95</v>
      </c>
      <c r="B280" s="427">
        <v>17</v>
      </c>
      <c r="C280" s="220" t="s">
        <v>31</v>
      </c>
      <c r="D280" s="379" t="s">
        <v>610</v>
      </c>
      <c r="E280" s="414" t="s">
        <v>364</v>
      </c>
      <c r="F280" s="414"/>
      <c r="G280"/>
      <c r="H280"/>
      <c r="I280"/>
      <c r="J280" t="str">
        <f t="shared" si="61"/>
        <v>NY-Yes</v>
      </c>
      <c r="K280" t="str">
        <f t="shared" si="62"/>
        <v>NY-Yes</v>
      </c>
      <c r="L280" s="417"/>
      <c r="M280" s="417"/>
      <c r="N280" s="255">
        <v>1988</v>
      </c>
      <c r="O280" s="416">
        <v>98158</v>
      </c>
      <c r="P280" s="416"/>
      <c r="Q280" s="416">
        <v>75781</v>
      </c>
      <c r="R280" s="416"/>
      <c r="S280" s="416">
        <v>123</v>
      </c>
      <c r="T280" s="353">
        <f t="shared" si="63"/>
        <v>174062</v>
      </c>
      <c r="U280" s="228"/>
      <c r="V280" s="221">
        <f t="shared" si="64"/>
        <v>98158</v>
      </c>
      <c r="W280" s="388">
        <f t="shared" si="59"/>
        <v>75781</v>
      </c>
      <c r="X280" s="222">
        <f t="shared" si="65"/>
        <v>0.12864854920403129</v>
      </c>
      <c r="Y280" s="421">
        <f t="shared" si="72"/>
        <v>0.12855764038101369</v>
      </c>
      <c r="Z280" s="223">
        <f t="shared" si="66"/>
        <v>0.56392549781112478</v>
      </c>
      <c r="AA280" s="224" t="str">
        <f t="shared" si="60"/>
        <v>NY-No</v>
      </c>
      <c r="AB280" s="225" t="str">
        <f t="shared" si="67"/>
        <v>NY-Dem</v>
      </c>
      <c r="AC280" s="422" t="str">
        <f>C280&amp;"-"&amp;IF(Y280&gt;Instructions!$H$14,Instructions!$I$14,IF(Y280&gt;Instructions!$H$15,Instructions!$I$15,IF(Y280&gt;Instructions!$H$16,Instructions!$I$16,IF(Y280&gt;Instructions!$H$17,Instructions!$I$17,Instructions!$I$18))))</f>
        <v>NY-Opportunity</v>
      </c>
      <c r="AD280" s="226">
        <f t="shared" si="68"/>
        <v>0</v>
      </c>
      <c r="AE280" s="226">
        <f t="shared" si="69"/>
        <v>75781</v>
      </c>
      <c r="AF280" s="227">
        <f t="shared" si="70"/>
        <v>123</v>
      </c>
      <c r="AG280" s="341">
        <f t="shared" si="71"/>
        <v>75904</v>
      </c>
    </row>
    <row r="281" spans="1:34">
      <c r="A281" s="352" t="s">
        <v>95</v>
      </c>
      <c r="B281" s="427">
        <v>18</v>
      </c>
      <c r="C281" s="220" t="s">
        <v>31</v>
      </c>
      <c r="D281" s="379" t="s">
        <v>611</v>
      </c>
      <c r="E281"/>
      <c r="F281"/>
      <c r="G281" s="381"/>
      <c r="H281"/>
      <c r="I281"/>
      <c r="J281" t="str">
        <f t="shared" si="61"/>
        <v>NY-Yes</v>
      </c>
      <c r="K281" t="str">
        <f t="shared" si="62"/>
        <v>NY-Yes</v>
      </c>
      <c r="L281" s="417"/>
      <c r="M281" s="417"/>
      <c r="N281" s="255">
        <v>2012</v>
      </c>
      <c r="O281" s="416">
        <v>88993</v>
      </c>
      <c r="P281" s="416"/>
      <c r="Q281" s="416">
        <v>85660</v>
      </c>
      <c r="R281" s="416"/>
      <c r="S281" s="416">
        <v>4438</v>
      </c>
      <c r="T281" s="353">
        <f t="shared" si="63"/>
        <v>179091</v>
      </c>
      <c r="U281" s="228"/>
      <c r="V281" s="221">
        <f t="shared" si="64"/>
        <v>88993</v>
      </c>
      <c r="W281" s="388">
        <f t="shared" si="59"/>
        <v>85660</v>
      </c>
      <c r="X281" s="222">
        <f t="shared" si="65"/>
        <v>1.9083554247565172E-2</v>
      </c>
      <c r="Y281" s="421">
        <f t="shared" si="72"/>
        <v>1.8610650451446498E-2</v>
      </c>
      <c r="Z281" s="223">
        <f t="shared" si="66"/>
        <v>0.49691497618529129</v>
      </c>
      <c r="AA281" s="224" t="str">
        <f t="shared" si="60"/>
        <v>NY-No</v>
      </c>
      <c r="AB281" s="225" t="str">
        <f t="shared" si="67"/>
        <v>NY-Dem</v>
      </c>
      <c r="AC281" s="422" t="str">
        <f>C281&amp;"-"&amp;IF(Y281&gt;Instructions!$H$14,Instructions!$I$14,IF(Y281&gt;Instructions!$H$15,Instructions!$I$15,IF(Y281&gt;Instructions!$H$16,Instructions!$I$16,IF(Y281&gt;Instructions!$H$17,Instructions!$I$17,Instructions!$I$18))))</f>
        <v>NY-Tight</v>
      </c>
      <c r="AD281" s="226">
        <f t="shared" si="68"/>
        <v>0</v>
      </c>
      <c r="AE281" s="226">
        <f t="shared" si="69"/>
        <v>85660</v>
      </c>
      <c r="AF281" s="227">
        <f t="shared" si="70"/>
        <v>4438</v>
      </c>
      <c r="AG281" s="341">
        <f t="shared" si="71"/>
        <v>90098</v>
      </c>
    </row>
    <row r="282" spans="1:34">
      <c r="A282" s="352" t="s">
        <v>95</v>
      </c>
      <c r="B282" s="427">
        <v>19</v>
      </c>
      <c r="C282" s="220" t="s">
        <v>31</v>
      </c>
      <c r="D282" s="379" t="s">
        <v>612</v>
      </c>
      <c r="E282" s="379"/>
      <c r="F282"/>
      <c r="G282"/>
      <c r="H282"/>
      <c r="I282"/>
      <c r="J282" t="str">
        <f t="shared" si="61"/>
        <v>NY-Yes</v>
      </c>
      <c r="K282" t="str">
        <f t="shared" si="62"/>
        <v>NY-Yes</v>
      </c>
      <c r="L282" s="415"/>
      <c r="M282" s="415"/>
      <c r="N282" s="255">
        <v>2010</v>
      </c>
      <c r="O282" s="416">
        <v>72470</v>
      </c>
      <c r="P282" s="416"/>
      <c r="Q282" s="416">
        <v>131594</v>
      </c>
      <c r="R282" s="416"/>
      <c r="S282" s="416">
        <v>109</v>
      </c>
      <c r="T282" s="353">
        <f t="shared" si="63"/>
        <v>204173</v>
      </c>
      <c r="U282" s="228"/>
      <c r="V282" s="221">
        <f t="shared" si="64"/>
        <v>131594</v>
      </c>
      <c r="W282" s="388">
        <f t="shared" si="59"/>
        <v>72470</v>
      </c>
      <c r="X282" s="222">
        <f t="shared" si="65"/>
        <v>0.28973263289948253</v>
      </c>
      <c r="Y282" s="421">
        <f t="shared" si="72"/>
        <v>0.28957795594912156</v>
      </c>
      <c r="Z282" s="223">
        <f t="shared" si="66"/>
        <v>0.6445220474793435</v>
      </c>
      <c r="AA282" s="224" t="str">
        <f t="shared" si="60"/>
        <v>NY-No</v>
      </c>
      <c r="AB282" s="225" t="str">
        <f t="shared" si="67"/>
        <v>NY-Rep</v>
      </c>
      <c r="AC282" s="422" t="str">
        <f>C282&amp;"-"&amp;IF(Y282&gt;Instructions!$H$14,Instructions!$I$14,IF(Y282&gt;Instructions!$H$15,Instructions!$I$15,IF(Y282&gt;Instructions!$H$16,Instructions!$I$16,IF(Y282&gt;Instructions!$H$17,Instructions!$I$17,Instructions!$I$18))))</f>
        <v>NY-Landslide</v>
      </c>
      <c r="AD282" s="226">
        <f t="shared" si="68"/>
        <v>72470</v>
      </c>
      <c r="AE282" s="226">
        <f t="shared" si="69"/>
        <v>0</v>
      </c>
      <c r="AF282" s="227">
        <f t="shared" si="70"/>
        <v>109</v>
      </c>
      <c r="AG282" s="341">
        <f t="shared" si="71"/>
        <v>72579</v>
      </c>
    </row>
    <row r="283" spans="1:34">
      <c r="A283" s="352" t="s">
        <v>95</v>
      </c>
      <c r="B283" s="427">
        <v>20</v>
      </c>
      <c r="C283" s="220" t="s">
        <v>31</v>
      </c>
      <c r="D283" s="379" t="s">
        <v>613</v>
      </c>
      <c r="E283" s="414"/>
      <c r="F283"/>
      <c r="G283" s="379"/>
      <c r="H283"/>
      <c r="I283"/>
      <c r="J283" t="str">
        <f t="shared" si="61"/>
        <v>NY-Yes</v>
      </c>
      <c r="K283" t="str">
        <f t="shared" si="62"/>
        <v>NY-Yes</v>
      </c>
      <c r="L283" s="417"/>
      <c r="M283" s="417"/>
      <c r="N283" s="255">
        <v>2008</v>
      </c>
      <c r="O283" s="416">
        <v>125111</v>
      </c>
      <c r="P283" s="416"/>
      <c r="Q283" s="416">
        <v>79104</v>
      </c>
      <c r="R283" s="416"/>
      <c r="S283" s="416">
        <v>114</v>
      </c>
      <c r="T283" s="353">
        <f t="shared" si="63"/>
        <v>204329</v>
      </c>
      <c r="U283" s="228"/>
      <c r="V283" s="221">
        <f t="shared" si="64"/>
        <v>125111</v>
      </c>
      <c r="W283" s="388">
        <f t="shared" si="59"/>
        <v>79104</v>
      </c>
      <c r="X283" s="222">
        <f t="shared" si="65"/>
        <v>0.22528707489655511</v>
      </c>
      <c r="Y283" s="421">
        <f t="shared" si="72"/>
        <v>0.22516138188901236</v>
      </c>
      <c r="Z283" s="223">
        <f t="shared" si="66"/>
        <v>0.61230172907418923</v>
      </c>
      <c r="AA283" s="224" t="str">
        <f t="shared" si="60"/>
        <v>NY-No</v>
      </c>
      <c r="AB283" s="225" t="str">
        <f t="shared" si="67"/>
        <v>NY-Dem</v>
      </c>
      <c r="AC283" s="422" t="str">
        <f>C283&amp;"-"&amp;IF(Y283&gt;Instructions!$H$14,Instructions!$I$14,IF(Y283&gt;Instructions!$H$15,Instructions!$I$15,IF(Y283&gt;Instructions!$H$16,Instructions!$I$16,IF(Y283&gt;Instructions!$H$17,Instructions!$I$17,Instructions!$I$18))))</f>
        <v>NY-Landslide</v>
      </c>
      <c r="AD283" s="226">
        <f t="shared" si="68"/>
        <v>0</v>
      </c>
      <c r="AE283" s="226">
        <f t="shared" si="69"/>
        <v>79104</v>
      </c>
      <c r="AF283" s="227">
        <f t="shared" si="70"/>
        <v>114</v>
      </c>
      <c r="AG283" s="341">
        <f t="shared" si="71"/>
        <v>79218</v>
      </c>
      <c r="AH283" s="380"/>
    </row>
    <row r="284" spans="1:34">
      <c r="A284" s="352" t="s">
        <v>95</v>
      </c>
      <c r="B284" s="427">
        <v>21</v>
      </c>
      <c r="C284" s="220" t="s">
        <v>31</v>
      </c>
      <c r="D284" s="379" t="s">
        <v>808</v>
      </c>
      <c r="E284" s="429" t="s">
        <v>364</v>
      </c>
      <c r="F284"/>
      <c r="G284" s="379"/>
      <c r="H284"/>
      <c r="I284"/>
      <c r="J284" t="str">
        <f t="shared" si="61"/>
        <v>NY-No</v>
      </c>
      <c r="K284" t="str">
        <f t="shared" si="62"/>
        <v>NY-No</v>
      </c>
      <c r="L284" s="415">
        <v>0</v>
      </c>
      <c r="M284" s="417">
        <v>1</v>
      </c>
      <c r="N284" s="255">
        <v>2014</v>
      </c>
      <c r="O284" s="416">
        <v>59063</v>
      </c>
      <c r="P284" s="416"/>
      <c r="Q284" s="416">
        <v>96226</v>
      </c>
      <c r="R284" s="416"/>
      <c r="S284" s="416">
        <v>19379</v>
      </c>
      <c r="T284" s="353">
        <f t="shared" si="63"/>
        <v>174668</v>
      </c>
      <c r="U284" s="228"/>
      <c r="V284" s="221">
        <f t="shared" si="64"/>
        <v>96226</v>
      </c>
      <c r="W284" s="388">
        <f t="shared" si="59"/>
        <v>59063</v>
      </c>
      <c r="X284" s="222">
        <f t="shared" si="65"/>
        <v>0.23931508348949379</v>
      </c>
      <c r="Y284" s="421">
        <f t="shared" si="72"/>
        <v>0.21276364302562573</v>
      </c>
      <c r="Z284" s="223">
        <f t="shared" si="66"/>
        <v>0.55090800833581421</v>
      </c>
      <c r="AA284" s="224" t="str">
        <f t="shared" si="60"/>
        <v>NY-No</v>
      </c>
      <c r="AB284" s="225" t="str">
        <f t="shared" si="67"/>
        <v>NY-Rep</v>
      </c>
      <c r="AC284" s="422" t="str">
        <f>C284&amp;"-"&amp;IF(Y284&gt;Instructions!$H$14,Instructions!$I$14,IF(Y284&gt;Instructions!$H$15,Instructions!$I$15,IF(Y284&gt;Instructions!$H$16,Instructions!$I$16,IF(Y284&gt;Instructions!$H$17,Instructions!$I$17,Instructions!$I$18))))</f>
        <v>NY-Landslide</v>
      </c>
      <c r="AD284" s="226">
        <f t="shared" si="68"/>
        <v>59063</v>
      </c>
      <c r="AE284" s="226">
        <f t="shared" si="69"/>
        <v>0</v>
      </c>
      <c r="AF284" s="227">
        <f t="shared" si="70"/>
        <v>19379</v>
      </c>
      <c r="AG284" s="341">
        <f t="shared" si="71"/>
        <v>78442</v>
      </c>
      <c r="AH284" s="380"/>
    </row>
    <row r="285" spans="1:34">
      <c r="A285" s="352" t="s">
        <v>95</v>
      </c>
      <c r="B285" s="427">
        <v>22</v>
      </c>
      <c r="C285" s="220" t="s">
        <v>31</v>
      </c>
      <c r="D285" s="379" t="s">
        <v>614</v>
      </c>
      <c r="E285"/>
      <c r="F285"/>
      <c r="G285"/>
      <c r="H285"/>
      <c r="I285"/>
      <c r="J285" t="str">
        <f t="shared" si="61"/>
        <v>NY-Yes</v>
      </c>
      <c r="K285" t="str">
        <f t="shared" si="62"/>
        <v>NY-Yes</v>
      </c>
      <c r="L285" s="415"/>
      <c r="M285" s="415"/>
      <c r="N285" s="255">
        <v>2010</v>
      </c>
      <c r="O285" s="416">
        <v>0</v>
      </c>
      <c r="P285" s="416"/>
      <c r="Q285" s="416">
        <v>129851</v>
      </c>
      <c r="R285" s="416"/>
      <c r="S285" s="416">
        <v>2081</v>
      </c>
      <c r="T285" s="353">
        <f t="shared" si="63"/>
        <v>131932</v>
      </c>
      <c r="U285" s="228"/>
      <c r="V285" s="221">
        <f t="shared" si="64"/>
        <v>129851</v>
      </c>
      <c r="W285" s="388">
        <f t="shared" ref="W285:W348" si="73">LARGE(O285:S285, 2)</f>
        <v>2081</v>
      </c>
      <c r="X285" s="222">
        <f t="shared" si="65"/>
        <v>1</v>
      </c>
      <c r="Y285" s="421">
        <f t="shared" si="72"/>
        <v>0.9684534457144589</v>
      </c>
      <c r="Z285" s="223">
        <f t="shared" si="66"/>
        <v>0.98422672285722945</v>
      </c>
      <c r="AA285" s="224" t="str">
        <f t="shared" si="60"/>
        <v>NY-Yes</v>
      </c>
      <c r="AB285" s="225" t="str">
        <f t="shared" si="67"/>
        <v>NY-Rep</v>
      </c>
      <c r="AC285" s="422" t="str">
        <f>C285&amp;"-"&amp;IF(Y285&gt;Instructions!$H$14,Instructions!$I$14,IF(Y285&gt;Instructions!$H$15,Instructions!$I$15,IF(Y285&gt;Instructions!$H$16,Instructions!$I$16,IF(Y285&gt;Instructions!$H$17,Instructions!$I$17,Instructions!$I$18))))</f>
        <v>NY-No contest</v>
      </c>
      <c r="AD285" s="226">
        <f t="shared" si="68"/>
        <v>0</v>
      </c>
      <c r="AE285" s="226">
        <f t="shared" si="69"/>
        <v>0</v>
      </c>
      <c r="AF285" s="227">
        <f t="shared" si="70"/>
        <v>2081</v>
      </c>
      <c r="AG285" s="341">
        <f t="shared" si="71"/>
        <v>2081</v>
      </c>
    </row>
    <row r="286" spans="1:34">
      <c r="A286" s="352" t="s">
        <v>95</v>
      </c>
      <c r="B286" s="427">
        <v>23</v>
      </c>
      <c r="C286" s="220" t="s">
        <v>31</v>
      </c>
      <c r="D286" s="379" t="s">
        <v>615</v>
      </c>
      <c r="E286"/>
      <c r="F286"/>
      <c r="G286"/>
      <c r="H286"/>
      <c r="I286"/>
      <c r="J286" t="str">
        <f t="shared" si="61"/>
        <v>NY-Yes</v>
      </c>
      <c r="K286" t="str">
        <f t="shared" si="62"/>
        <v>NY-Yes</v>
      </c>
      <c r="L286" s="415"/>
      <c r="M286" s="415"/>
      <c r="N286" s="255">
        <v>2010</v>
      </c>
      <c r="O286" s="416">
        <v>70242</v>
      </c>
      <c r="P286" s="416"/>
      <c r="Q286" s="416">
        <v>113130</v>
      </c>
      <c r="R286" s="416"/>
      <c r="S286" s="416">
        <v>109</v>
      </c>
      <c r="T286" s="353">
        <f t="shared" si="63"/>
        <v>183481</v>
      </c>
      <c r="U286" s="228"/>
      <c r="V286" s="221">
        <f t="shared" si="64"/>
        <v>113130</v>
      </c>
      <c r="W286" s="388">
        <f t="shared" si="73"/>
        <v>70242</v>
      </c>
      <c r="X286" s="222">
        <f t="shared" si="65"/>
        <v>0.2338852169360644</v>
      </c>
      <c r="Y286" s="421">
        <f t="shared" si="72"/>
        <v>0.23374627345610716</v>
      </c>
      <c r="Z286" s="223">
        <f t="shared" si="66"/>
        <v>0.6165761032477477</v>
      </c>
      <c r="AA286" s="224" t="str">
        <f t="shared" si="60"/>
        <v>NY-No</v>
      </c>
      <c r="AB286" s="225" t="str">
        <f t="shared" si="67"/>
        <v>NY-Rep</v>
      </c>
      <c r="AC286" s="422" t="str">
        <f>C286&amp;"-"&amp;IF(Y286&gt;Instructions!$H$14,Instructions!$I$14,IF(Y286&gt;Instructions!$H$15,Instructions!$I$15,IF(Y286&gt;Instructions!$H$16,Instructions!$I$16,IF(Y286&gt;Instructions!$H$17,Instructions!$I$17,Instructions!$I$18))))</f>
        <v>NY-Landslide</v>
      </c>
      <c r="AD286" s="226">
        <f t="shared" si="68"/>
        <v>70242</v>
      </c>
      <c r="AE286" s="226">
        <f t="shared" si="69"/>
        <v>0</v>
      </c>
      <c r="AF286" s="227">
        <f t="shared" si="70"/>
        <v>109</v>
      </c>
      <c r="AG286" s="341">
        <f t="shared" si="71"/>
        <v>70351</v>
      </c>
    </row>
    <row r="287" spans="1:34">
      <c r="A287" s="352" t="s">
        <v>95</v>
      </c>
      <c r="B287" s="427">
        <v>24</v>
      </c>
      <c r="C287" s="220" t="s">
        <v>31</v>
      </c>
      <c r="D287" s="379" t="s">
        <v>809</v>
      </c>
      <c r="E287"/>
      <c r="F287" s="379"/>
      <c r="G287"/>
      <c r="H287"/>
      <c r="I287"/>
      <c r="J287" t="str">
        <f t="shared" si="61"/>
        <v>NY-Yes</v>
      </c>
      <c r="K287" t="str">
        <f t="shared" si="62"/>
        <v>NY-No</v>
      </c>
      <c r="L287" s="354">
        <v>1</v>
      </c>
      <c r="M287" s="354">
        <v>1</v>
      </c>
      <c r="N287" s="255">
        <v>2014</v>
      </c>
      <c r="O287" s="416">
        <v>80304</v>
      </c>
      <c r="P287" s="416"/>
      <c r="Q287" s="416">
        <v>118474</v>
      </c>
      <c r="R287" s="416"/>
      <c r="S287" s="416">
        <v>444</v>
      </c>
      <c r="T287" s="353">
        <f t="shared" si="63"/>
        <v>199222</v>
      </c>
      <c r="U287" s="228"/>
      <c r="V287" s="221">
        <f t="shared" si="64"/>
        <v>118474</v>
      </c>
      <c r="W287" s="388">
        <f t="shared" si="73"/>
        <v>80304</v>
      </c>
      <c r="X287" s="222">
        <f t="shared" si="65"/>
        <v>0.19202326213162421</v>
      </c>
      <c r="Y287" s="421">
        <f t="shared" si="72"/>
        <v>0.19159530573932593</v>
      </c>
      <c r="Z287" s="223">
        <f t="shared" si="66"/>
        <v>0.59468331810743791</v>
      </c>
      <c r="AA287" s="224" t="str">
        <f t="shared" si="60"/>
        <v>NY-No</v>
      </c>
      <c r="AB287" s="225" t="str">
        <f t="shared" si="67"/>
        <v>NY-Rep</v>
      </c>
      <c r="AC287" s="422" t="str">
        <f>C287&amp;"-"&amp;IF(Y287&gt;Instructions!$H$14,Instructions!$I$14,IF(Y287&gt;Instructions!$H$15,Instructions!$I$15,IF(Y287&gt;Instructions!$H$16,Instructions!$I$16,IF(Y287&gt;Instructions!$H$17,Instructions!$I$17,Instructions!$I$18))))</f>
        <v>NY-Opportunity</v>
      </c>
      <c r="AD287" s="226">
        <f t="shared" si="68"/>
        <v>80304</v>
      </c>
      <c r="AE287" s="226">
        <f t="shared" si="69"/>
        <v>0</v>
      </c>
      <c r="AF287" s="227">
        <f t="shared" si="70"/>
        <v>444</v>
      </c>
      <c r="AG287" s="341">
        <f t="shared" si="71"/>
        <v>80748</v>
      </c>
    </row>
    <row r="288" spans="1:34">
      <c r="A288" s="352" t="s">
        <v>95</v>
      </c>
      <c r="B288" s="426">
        <v>25</v>
      </c>
      <c r="C288" s="220" t="s">
        <v>31</v>
      </c>
      <c r="D288" s="379" t="s">
        <v>616</v>
      </c>
      <c r="E288" s="414" t="s">
        <v>364</v>
      </c>
      <c r="F288" s="379"/>
      <c r="G288"/>
      <c r="H288"/>
      <c r="I288"/>
      <c r="J288" t="str">
        <f t="shared" si="61"/>
        <v>NY-Yes</v>
      </c>
      <c r="K288" t="str">
        <f t="shared" si="62"/>
        <v>NY-Yes</v>
      </c>
      <c r="L288" s="417"/>
      <c r="M288" s="417"/>
      <c r="N288" s="255">
        <v>1986</v>
      </c>
      <c r="O288" s="416">
        <v>96803</v>
      </c>
      <c r="P288" s="416"/>
      <c r="Q288" s="416">
        <v>95932</v>
      </c>
      <c r="R288" s="416"/>
      <c r="S288" s="416">
        <v>236</v>
      </c>
      <c r="T288" s="353">
        <f t="shared" si="63"/>
        <v>192971</v>
      </c>
      <c r="U288" s="228"/>
      <c r="V288" s="221">
        <f t="shared" si="64"/>
        <v>96803</v>
      </c>
      <c r="W288" s="388">
        <f t="shared" si="73"/>
        <v>95932</v>
      </c>
      <c r="X288" s="222">
        <f t="shared" si="65"/>
        <v>4.5191584299686099E-3</v>
      </c>
      <c r="Y288" s="421">
        <f t="shared" si="72"/>
        <v>4.5136315819475081E-3</v>
      </c>
      <c r="Z288" s="223">
        <f t="shared" si="66"/>
        <v>0.50164532494519898</v>
      </c>
      <c r="AA288" s="224" t="str">
        <f t="shared" si="60"/>
        <v>NY-No</v>
      </c>
      <c r="AB288" s="225" t="str">
        <f t="shared" si="67"/>
        <v>NY-Dem</v>
      </c>
      <c r="AC288" s="422" t="str">
        <f>C288&amp;"-"&amp;IF(Y288&gt;Instructions!$H$14,Instructions!$I$14,IF(Y288&gt;Instructions!$H$15,Instructions!$I$15,IF(Y288&gt;Instructions!$H$16,Instructions!$I$16,IF(Y288&gt;Instructions!$H$17,Instructions!$I$17,Instructions!$I$18))))</f>
        <v>NY-Tight</v>
      </c>
      <c r="AD288" s="226">
        <f t="shared" si="68"/>
        <v>0</v>
      </c>
      <c r="AE288" s="226">
        <f t="shared" si="69"/>
        <v>95932</v>
      </c>
      <c r="AF288" s="227">
        <f t="shared" si="70"/>
        <v>236</v>
      </c>
      <c r="AG288" s="341">
        <f t="shared" si="71"/>
        <v>96168</v>
      </c>
      <c r="AH288" s="380"/>
    </row>
    <row r="289" spans="1:34">
      <c r="A289" s="352" t="s">
        <v>95</v>
      </c>
      <c r="B289" s="427">
        <v>26</v>
      </c>
      <c r="C289" s="220" t="s">
        <v>31</v>
      </c>
      <c r="D289" s="379" t="s">
        <v>617</v>
      </c>
      <c r="E289" s="379"/>
      <c r="F289"/>
      <c r="G289"/>
      <c r="H289" s="379"/>
      <c r="I289"/>
      <c r="J289" t="str">
        <f t="shared" si="61"/>
        <v>NY-Yes</v>
      </c>
      <c r="K289" t="str">
        <f t="shared" si="62"/>
        <v>NY-Yes</v>
      </c>
      <c r="L289" s="417"/>
      <c r="M289" s="417"/>
      <c r="N289" s="255">
        <v>2004</v>
      </c>
      <c r="O289" s="416">
        <v>113210</v>
      </c>
      <c r="P289" s="416"/>
      <c r="Q289" s="416">
        <v>52909</v>
      </c>
      <c r="R289" s="416"/>
      <c r="S289" s="416">
        <v>5</v>
      </c>
      <c r="T289" s="353">
        <f t="shared" si="63"/>
        <v>166124</v>
      </c>
      <c r="U289" s="228"/>
      <c r="V289" s="221">
        <f t="shared" si="64"/>
        <v>113210</v>
      </c>
      <c r="W289" s="388">
        <f t="shared" si="73"/>
        <v>52909</v>
      </c>
      <c r="X289" s="222">
        <f t="shared" si="65"/>
        <v>0.36299881410314294</v>
      </c>
      <c r="Y289" s="421">
        <f t="shared" si="72"/>
        <v>0.36298788856516823</v>
      </c>
      <c r="Z289" s="223">
        <f t="shared" si="66"/>
        <v>0.68147889528304162</v>
      </c>
      <c r="AA289" s="224" t="str">
        <f t="shared" si="60"/>
        <v>NY-No</v>
      </c>
      <c r="AB289" s="225" t="str">
        <f t="shared" si="67"/>
        <v>NY-Dem</v>
      </c>
      <c r="AC289" s="422" t="str">
        <f>C289&amp;"-"&amp;IF(Y289&gt;Instructions!$H$14,Instructions!$I$14,IF(Y289&gt;Instructions!$H$15,Instructions!$I$15,IF(Y289&gt;Instructions!$H$16,Instructions!$I$16,IF(Y289&gt;Instructions!$H$17,Instructions!$I$17,Instructions!$I$18))))</f>
        <v>NY-Landslide</v>
      </c>
      <c r="AD289" s="226">
        <f t="shared" si="68"/>
        <v>0</v>
      </c>
      <c r="AE289" s="226">
        <f t="shared" si="69"/>
        <v>52909</v>
      </c>
      <c r="AF289" s="227">
        <f t="shared" si="70"/>
        <v>5</v>
      </c>
      <c r="AG289" s="341">
        <f t="shared" si="71"/>
        <v>52914</v>
      </c>
    </row>
    <row r="290" spans="1:34">
      <c r="A290" s="352" t="s">
        <v>95</v>
      </c>
      <c r="B290" s="427">
        <v>27</v>
      </c>
      <c r="C290" s="220" t="s">
        <v>31</v>
      </c>
      <c r="D290" s="379" t="s">
        <v>618</v>
      </c>
      <c r="E290" s="414"/>
      <c r="F290"/>
      <c r="G290" s="379"/>
      <c r="H290" s="379"/>
      <c r="I290"/>
      <c r="J290" t="str">
        <f t="shared" si="61"/>
        <v>NY-Yes</v>
      </c>
      <c r="K290" t="str">
        <f t="shared" si="62"/>
        <v>NY-Yes</v>
      </c>
      <c r="L290" s="415"/>
      <c r="M290" s="415"/>
      <c r="N290" s="255">
        <v>2012</v>
      </c>
      <c r="O290" s="416">
        <v>58911</v>
      </c>
      <c r="P290" s="416"/>
      <c r="Q290" s="416">
        <v>144675</v>
      </c>
      <c r="R290" s="416"/>
      <c r="S290" s="416">
        <v>59</v>
      </c>
      <c r="T290" s="353">
        <f t="shared" si="63"/>
        <v>203645</v>
      </c>
      <c r="U290" s="228"/>
      <c r="V290" s="221">
        <f t="shared" si="64"/>
        <v>144675</v>
      </c>
      <c r="W290" s="388">
        <f t="shared" si="73"/>
        <v>58911</v>
      </c>
      <c r="X290" s="222">
        <f t="shared" si="65"/>
        <v>0.42126668827915476</v>
      </c>
      <c r="Y290" s="421">
        <f t="shared" si="72"/>
        <v>0.42114463895504439</v>
      </c>
      <c r="Z290" s="223">
        <f t="shared" si="66"/>
        <v>0.71042745954970665</v>
      </c>
      <c r="AA290" s="224" t="str">
        <f t="shared" si="60"/>
        <v>NY-No</v>
      </c>
      <c r="AB290" s="225" t="str">
        <f t="shared" si="67"/>
        <v>NY-Rep</v>
      </c>
      <c r="AC290" s="422" t="str">
        <f>C290&amp;"-"&amp;IF(Y290&gt;Instructions!$H$14,Instructions!$I$14,IF(Y290&gt;Instructions!$H$15,Instructions!$I$15,IF(Y290&gt;Instructions!$H$16,Instructions!$I$16,IF(Y290&gt;Instructions!$H$17,Instructions!$I$17,Instructions!$I$18))))</f>
        <v>NY-No contest</v>
      </c>
      <c r="AD290" s="226">
        <f t="shared" si="68"/>
        <v>58911</v>
      </c>
      <c r="AE290" s="226">
        <f t="shared" si="69"/>
        <v>0</v>
      </c>
      <c r="AF290" s="227">
        <f t="shared" si="70"/>
        <v>59</v>
      </c>
      <c r="AG290" s="341">
        <f t="shared" si="71"/>
        <v>58970</v>
      </c>
    </row>
    <row r="291" spans="1:34">
      <c r="A291" s="352" t="s">
        <v>96</v>
      </c>
      <c r="B291" s="427">
        <v>1</v>
      </c>
      <c r="C291" s="220" t="s">
        <v>32</v>
      </c>
      <c r="D291" s="379" t="s">
        <v>619</v>
      </c>
      <c r="E291"/>
      <c r="F291" s="414" t="s">
        <v>365</v>
      </c>
      <c r="G291" s="379"/>
      <c r="H291"/>
      <c r="I291"/>
      <c r="J291" t="str">
        <f t="shared" si="61"/>
        <v>NC-Yes</v>
      </c>
      <c r="K291" t="str">
        <f t="shared" si="62"/>
        <v>NC-Yes</v>
      </c>
      <c r="L291" s="417"/>
      <c r="M291" s="417"/>
      <c r="N291" s="255">
        <v>2004</v>
      </c>
      <c r="O291" s="416">
        <v>154333</v>
      </c>
      <c r="P291" s="416"/>
      <c r="Q291" s="416">
        <v>55990</v>
      </c>
      <c r="R291" s="416"/>
      <c r="S291" s="416">
        <v>0</v>
      </c>
      <c r="T291" s="353">
        <f t="shared" si="63"/>
        <v>210323</v>
      </c>
      <c r="U291" s="228"/>
      <c r="V291" s="221">
        <f t="shared" si="64"/>
        <v>154333</v>
      </c>
      <c r="W291" s="388">
        <f t="shared" si="73"/>
        <v>55990</v>
      </c>
      <c r="X291" s="222">
        <f t="shared" si="65"/>
        <v>0.46758081617321928</v>
      </c>
      <c r="Y291" s="421">
        <f t="shared" si="72"/>
        <v>0.46758081617321934</v>
      </c>
      <c r="Z291" s="223">
        <f t="shared" si="66"/>
        <v>0.73379040808660967</v>
      </c>
      <c r="AA291" s="224" t="str">
        <f t="shared" si="60"/>
        <v>NC-No</v>
      </c>
      <c r="AB291" s="225" t="str">
        <f t="shared" si="67"/>
        <v>NC-Dem</v>
      </c>
      <c r="AC291" s="422" t="str">
        <f>C291&amp;"-"&amp;IF(Y291&gt;Instructions!$H$14,Instructions!$I$14,IF(Y291&gt;Instructions!$H$15,Instructions!$I$15,IF(Y291&gt;Instructions!$H$16,Instructions!$I$16,IF(Y291&gt;Instructions!$H$17,Instructions!$I$17,Instructions!$I$18))))</f>
        <v>NC-No contest</v>
      </c>
      <c r="AD291" s="226">
        <f t="shared" si="68"/>
        <v>0</v>
      </c>
      <c r="AE291" s="226">
        <f t="shared" si="69"/>
        <v>55990</v>
      </c>
      <c r="AF291" s="227">
        <f t="shared" si="70"/>
        <v>0</v>
      </c>
      <c r="AG291" s="341">
        <f t="shared" si="71"/>
        <v>55990</v>
      </c>
    </row>
    <row r="292" spans="1:34">
      <c r="A292" s="352" t="s">
        <v>96</v>
      </c>
      <c r="B292" s="427">
        <v>2</v>
      </c>
      <c r="C292" s="220" t="s">
        <v>32</v>
      </c>
      <c r="D292" s="379" t="s">
        <v>620</v>
      </c>
      <c r="E292" s="414" t="s">
        <v>365</v>
      </c>
      <c r="F292"/>
      <c r="G292"/>
      <c r="H292"/>
      <c r="I292"/>
      <c r="J292" t="str">
        <f t="shared" si="61"/>
        <v>NC-Yes</v>
      </c>
      <c r="K292" t="str">
        <f t="shared" si="62"/>
        <v>NC-Yes</v>
      </c>
      <c r="L292" s="415"/>
      <c r="M292" s="415"/>
      <c r="N292" s="255">
        <v>2010</v>
      </c>
      <c r="O292" s="416">
        <v>85479</v>
      </c>
      <c r="P292" s="416"/>
      <c r="Q292" s="416">
        <v>122128</v>
      </c>
      <c r="R292" s="416"/>
      <c r="S292" s="416">
        <v>0</v>
      </c>
      <c r="T292" s="353">
        <f t="shared" si="63"/>
        <v>207607</v>
      </c>
      <c r="U292" s="228"/>
      <c r="V292" s="221">
        <f t="shared" si="64"/>
        <v>122128</v>
      </c>
      <c r="W292" s="388">
        <f t="shared" si="73"/>
        <v>85479</v>
      </c>
      <c r="X292" s="222">
        <f t="shared" si="65"/>
        <v>0.1765306564807545</v>
      </c>
      <c r="Y292" s="421">
        <f t="shared" si="72"/>
        <v>0.1765306564807545</v>
      </c>
      <c r="Z292" s="223">
        <f t="shared" si="66"/>
        <v>0.58826532824037725</v>
      </c>
      <c r="AA292" s="224" t="str">
        <f t="shared" si="60"/>
        <v>NC-No</v>
      </c>
      <c r="AB292" s="225" t="str">
        <f t="shared" si="67"/>
        <v>NC-Rep</v>
      </c>
      <c r="AC292" s="422" t="str">
        <f>C292&amp;"-"&amp;IF(Y292&gt;Instructions!$H$14,Instructions!$I$14,IF(Y292&gt;Instructions!$H$15,Instructions!$I$15,IF(Y292&gt;Instructions!$H$16,Instructions!$I$16,IF(Y292&gt;Instructions!$H$17,Instructions!$I$17,Instructions!$I$18))))</f>
        <v>NC-Opportunity</v>
      </c>
      <c r="AD292" s="226">
        <f t="shared" si="68"/>
        <v>85479</v>
      </c>
      <c r="AE292" s="226">
        <f t="shared" si="69"/>
        <v>0</v>
      </c>
      <c r="AF292" s="227">
        <f t="shared" si="70"/>
        <v>0</v>
      </c>
      <c r="AG292" s="341">
        <f t="shared" si="71"/>
        <v>85479</v>
      </c>
      <c r="AH292" s="380"/>
    </row>
    <row r="293" spans="1:34">
      <c r="A293" s="352" t="s">
        <v>96</v>
      </c>
      <c r="B293" s="427">
        <v>3</v>
      </c>
      <c r="C293" s="220" t="s">
        <v>32</v>
      </c>
      <c r="D293" s="379" t="s">
        <v>621</v>
      </c>
      <c r="E293" s="414"/>
      <c r="F293"/>
      <c r="G293"/>
      <c r="H293"/>
      <c r="I293"/>
      <c r="J293" t="str">
        <f t="shared" si="61"/>
        <v>NC-Yes</v>
      </c>
      <c r="K293" t="str">
        <f t="shared" si="62"/>
        <v>NC-Yes</v>
      </c>
      <c r="L293" s="415"/>
      <c r="M293" s="415"/>
      <c r="N293" s="255">
        <v>1994</v>
      </c>
      <c r="O293" s="416">
        <v>66182</v>
      </c>
      <c r="P293" s="416"/>
      <c r="Q293" s="416">
        <v>139415</v>
      </c>
      <c r="R293" s="416"/>
      <c r="S293" s="416">
        <v>0</v>
      </c>
      <c r="T293" s="353">
        <f t="shared" si="63"/>
        <v>205597</v>
      </c>
      <c r="U293" s="228"/>
      <c r="V293" s="221">
        <f t="shared" si="64"/>
        <v>139415</v>
      </c>
      <c r="W293" s="388">
        <f t="shared" si="73"/>
        <v>66182</v>
      </c>
      <c r="X293" s="222">
        <f t="shared" si="65"/>
        <v>0.35619683166583171</v>
      </c>
      <c r="Y293" s="421">
        <f t="shared" si="72"/>
        <v>0.35619683166583171</v>
      </c>
      <c r="Z293" s="223">
        <f t="shared" si="66"/>
        <v>0.67809841583291586</v>
      </c>
      <c r="AA293" s="224" t="str">
        <f t="shared" si="60"/>
        <v>NC-No</v>
      </c>
      <c r="AB293" s="225" t="str">
        <f t="shared" si="67"/>
        <v>NC-Rep</v>
      </c>
      <c r="AC293" s="422" t="str">
        <f>C293&amp;"-"&amp;IF(Y293&gt;Instructions!$H$14,Instructions!$I$14,IF(Y293&gt;Instructions!$H$15,Instructions!$I$15,IF(Y293&gt;Instructions!$H$16,Instructions!$I$16,IF(Y293&gt;Instructions!$H$17,Instructions!$I$17,Instructions!$I$18))))</f>
        <v>NC-Landslide</v>
      </c>
      <c r="AD293" s="226">
        <f t="shared" si="68"/>
        <v>66182</v>
      </c>
      <c r="AE293" s="226">
        <f t="shared" si="69"/>
        <v>0</v>
      </c>
      <c r="AF293" s="227">
        <f t="shared" si="70"/>
        <v>0</v>
      </c>
      <c r="AG293" s="341">
        <f t="shared" si="71"/>
        <v>66182</v>
      </c>
      <c r="AH293" s="380"/>
    </row>
    <row r="294" spans="1:34">
      <c r="A294" s="352" t="s">
        <v>96</v>
      </c>
      <c r="B294" s="427">
        <v>4</v>
      </c>
      <c r="C294" s="220" t="s">
        <v>32</v>
      </c>
      <c r="D294" s="379" t="s">
        <v>622</v>
      </c>
      <c r="E294"/>
      <c r="F294"/>
      <c r="G294"/>
      <c r="H294"/>
      <c r="I294"/>
      <c r="J294" t="str">
        <f t="shared" si="61"/>
        <v>NC-Yes</v>
      </c>
      <c r="K294" t="str">
        <f t="shared" si="62"/>
        <v>NC-Yes</v>
      </c>
      <c r="L294" s="417"/>
      <c r="M294" s="417"/>
      <c r="N294" s="255">
        <v>1996</v>
      </c>
      <c r="O294" s="416">
        <v>169946</v>
      </c>
      <c r="P294" s="416"/>
      <c r="Q294" s="416">
        <v>57416</v>
      </c>
      <c r="R294" s="416"/>
      <c r="S294" s="416">
        <v>0</v>
      </c>
      <c r="T294" s="353">
        <f t="shared" si="63"/>
        <v>227362</v>
      </c>
      <c r="U294" s="228"/>
      <c r="V294" s="221">
        <f t="shared" si="64"/>
        <v>169946</v>
      </c>
      <c r="W294" s="388">
        <f t="shared" si="73"/>
        <v>57416</v>
      </c>
      <c r="X294" s="222">
        <f t="shared" si="65"/>
        <v>0.49493758851523123</v>
      </c>
      <c r="Y294" s="421">
        <f t="shared" si="72"/>
        <v>0.49493758851523117</v>
      </c>
      <c r="Z294" s="223">
        <f t="shared" si="66"/>
        <v>0.74746879425761559</v>
      </c>
      <c r="AA294" s="224" t="str">
        <f t="shared" si="60"/>
        <v>NC-No</v>
      </c>
      <c r="AB294" s="225" t="str">
        <f t="shared" si="67"/>
        <v>NC-Dem</v>
      </c>
      <c r="AC294" s="422" t="str">
        <f>C294&amp;"-"&amp;IF(Y294&gt;Instructions!$H$14,Instructions!$I$14,IF(Y294&gt;Instructions!$H$15,Instructions!$I$15,IF(Y294&gt;Instructions!$H$16,Instructions!$I$16,IF(Y294&gt;Instructions!$H$17,Instructions!$I$17,Instructions!$I$18))))</f>
        <v>NC-No contest</v>
      </c>
      <c r="AD294" s="226">
        <f t="shared" si="68"/>
        <v>0</v>
      </c>
      <c r="AE294" s="226">
        <f t="shared" si="69"/>
        <v>57416</v>
      </c>
      <c r="AF294" s="227">
        <f t="shared" si="70"/>
        <v>0</v>
      </c>
      <c r="AG294" s="341">
        <f t="shared" si="71"/>
        <v>57416</v>
      </c>
      <c r="AH294" s="413">
        <f>SUM(AG266:AG294)</f>
        <v>1326592</v>
      </c>
    </row>
    <row r="295" spans="1:34">
      <c r="A295" s="352" t="s">
        <v>96</v>
      </c>
      <c r="B295" s="427">
        <v>5</v>
      </c>
      <c r="C295" s="220" t="s">
        <v>32</v>
      </c>
      <c r="D295" s="379" t="s">
        <v>623</v>
      </c>
      <c r="E295" s="414" t="s">
        <v>365</v>
      </c>
      <c r="F295" s="381"/>
      <c r="G295"/>
      <c r="H295"/>
      <c r="I295"/>
      <c r="J295" t="str">
        <f t="shared" si="61"/>
        <v>NC-Yes</v>
      </c>
      <c r="K295" t="str">
        <f t="shared" si="62"/>
        <v>NC-Yes</v>
      </c>
      <c r="L295" s="415"/>
      <c r="M295" s="415"/>
      <c r="N295" s="255">
        <v>2004</v>
      </c>
      <c r="O295" s="416">
        <v>88973</v>
      </c>
      <c r="P295" s="416"/>
      <c r="Q295" s="416">
        <v>139279</v>
      </c>
      <c r="R295" s="416"/>
      <c r="S295" s="416">
        <v>0</v>
      </c>
      <c r="T295" s="353">
        <f t="shared" si="63"/>
        <v>228252</v>
      </c>
      <c r="U295" s="228"/>
      <c r="V295" s="221">
        <f t="shared" si="64"/>
        <v>139279</v>
      </c>
      <c r="W295" s="388">
        <f t="shared" si="73"/>
        <v>88973</v>
      </c>
      <c r="X295" s="222">
        <f t="shared" si="65"/>
        <v>0.22039675446436394</v>
      </c>
      <c r="Y295" s="421">
        <f t="shared" si="72"/>
        <v>0.22039675446436391</v>
      </c>
      <c r="Z295" s="223">
        <f t="shared" si="66"/>
        <v>0.61019837723218195</v>
      </c>
      <c r="AA295" s="224" t="str">
        <f t="shared" si="60"/>
        <v>NC-No</v>
      </c>
      <c r="AB295" s="225" t="str">
        <f t="shared" si="67"/>
        <v>NC-Rep</v>
      </c>
      <c r="AC295" s="422" t="str">
        <f>C295&amp;"-"&amp;IF(Y295&gt;Instructions!$H$14,Instructions!$I$14,IF(Y295&gt;Instructions!$H$15,Instructions!$I$15,IF(Y295&gt;Instructions!$H$16,Instructions!$I$16,IF(Y295&gt;Instructions!$H$17,Instructions!$I$17,Instructions!$I$18))))</f>
        <v>NC-Landslide</v>
      </c>
      <c r="AD295" s="226">
        <f t="shared" si="68"/>
        <v>88973</v>
      </c>
      <c r="AE295" s="226">
        <f t="shared" si="69"/>
        <v>0</v>
      </c>
      <c r="AF295" s="227">
        <f t="shared" si="70"/>
        <v>0</v>
      </c>
      <c r="AG295" s="341">
        <f t="shared" si="71"/>
        <v>88973</v>
      </c>
      <c r="AH295" s="380"/>
    </row>
    <row r="296" spans="1:34">
      <c r="A296" s="352" t="s">
        <v>96</v>
      </c>
      <c r="B296" s="427">
        <v>6</v>
      </c>
      <c r="C296" s="220" t="s">
        <v>32</v>
      </c>
      <c r="D296" s="379" t="s">
        <v>810</v>
      </c>
      <c r="E296" s="414"/>
      <c r="F296"/>
      <c r="G296"/>
      <c r="H296"/>
      <c r="I296"/>
      <c r="J296" t="str">
        <f t="shared" si="61"/>
        <v>NC-No</v>
      </c>
      <c r="K296" t="str">
        <f t="shared" si="62"/>
        <v>NC-No</v>
      </c>
      <c r="L296" s="415">
        <v>0</v>
      </c>
      <c r="M296" s="415"/>
      <c r="N296" s="255">
        <v>2014</v>
      </c>
      <c r="O296" s="416">
        <v>103758</v>
      </c>
      <c r="P296" s="416"/>
      <c r="Q296" s="416">
        <v>147312</v>
      </c>
      <c r="R296" s="416"/>
      <c r="S296" s="416">
        <v>0</v>
      </c>
      <c r="T296" s="353">
        <f t="shared" si="63"/>
        <v>251070</v>
      </c>
      <c r="U296" s="228"/>
      <c r="V296" s="221">
        <f t="shared" si="64"/>
        <v>147312</v>
      </c>
      <c r="W296" s="388">
        <f t="shared" si="73"/>
        <v>103758</v>
      </c>
      <c r="X296" s="222">
        <f t="shared" si="65"/>
        <v>0.17347353327757198</v>
      </c>
      <c r="Y296" s="421">
        <f t="shared" si="72"/>
        <v>0.17347353327757203</v>
      </c>
      <c r="Z296" s="223">
        <f t="shared" si="66"/>
        <v>0.58673676663878604</v>
      </c>
      <c r="AA296" s="224" t="str">
        <f t="shared" si="60"/>
        <v>NC-No</v>
      </c>
      <c r="AB296" s="225" t="str">
        <f t="shared" si="67"/>
        <v>NC-Rep</v>
      </c>
      <c r="AC296" s="422" t="str">
        <f>C296&amp;"-"&amp;IF(Y296&gt;Instructions!$H$14,Instructions!$I$14,IF(Y296&gt;Instructions!$H$15,Instructions!$I$15,IF(Y296&gt;Instructions!$H$16,Instructions!$I$16,IF(Y296&gt;Instructions!$H$17,Instructions!$I$17,Instructions!$I$18))))</f>
        <v>NC-Opportunity</v>
      </c>
      <c r="AD296" s="226">
        <f t="shared" si="68"/>
        <v>103758</v>
      </c>
      <c r="AE296" s="226">
        <f t="shared" si="69"/>
        <v>0</v>
      </c>
      <c r="AF296" s="227">
        <f t="shared" si="70"/>
        <v>0</v>
      </c>
      <c r="AG296" s="341">
        <f t="shared" si="71"/>
        <v>103758</v>
      </c>
    </row>
    <row r="297" spans="1:34">
      <c r="A297" s="352" t="s">
        <v>96</v>
      </c>
      <c r="B297" s="427">
        <v>7</v>
      </c>
      <c r="C297" s="220" t="s">
        <v>32</v>
      </c>
      <c r="D297" s="379" t="s">
        <v>811</v>
      </c>
      <c r="E297"/>
      <c r="F297"/>
      <c r="G297"/>
      <c r="H297"/>
      <c r="I297"/>
      <c r="J297" t="str">
        <f t="shared" si="61"/>
        <v>NC-No</v>
      </c>
      <c r="K297" t="str">
        <f t="shared" si="62"/>
        <v>NC-No</v>
      </c>
      <c r="L297" s="415">
        <v>0</v>
      </c>
      <c r="M297" s="415">
        <v>1</v>
      </c>
      <c r="N297" s="255">
        <v>2014</v>
      </c>
      <c r="O297" s="416">
        <v>84054</v>
      </c>
      <c r="P297" s="416"/>
      <c r="Q297" s="416">
        <v>134431</v>
      </c>
      <c r="R297" s="416"/>
      <c r="S297" s="416">
        <v>8019</v>
      </c>
      <c r="T297" s="353">
        <f t="shared" si="63"/>
        <v>226504</v>
      </c>
      <c r="U297" s="228"/>
      <c r="V297" s="221">
        <f t="shared" si="64"/>
        <v>134431</v>
      </c>
      <c r="W297" s="388">
        <f t="shared" si="73"/>
        <v>84054</v>
      </c>
      <c r="X297" s="222">
        <f t="shared" si="65"/>
        <v>0.23057418129391033</v>
      </c>
      <c r="Y297" s="421">
        <f t="shared" si="72"/>
        <v>0.22241108324797793</v>
      </c>
      <c r="Z297" s="223">
        <f t="shared" si="66"/>
        <v>0.59350386748136896</v>
      </c>
      <c r="AA297" s="224" t="str">
        <f t="shared" si="60"/>
        <v>NC-No</v>
      </c>
      <c r="AB297" s="225" t="str">
        <f t="shared" si="67"/>
        <v>NC-Rep</v>
      </c>
      <c r="AC297" s="422" t="str">
        <f>C297&amp;"-"&amp;IF(Y297&gt;Instructions!$H$14,Instructions!$I$14,IF(Y297&gt;Instructions!$H$15,Instructions!$I$15,IF(Y297&gt;Instructions!$H$16,Instructions!$I$16,IF(Y297&gt;Instructions!$H$17,Instructions!$I$17,Instructions!$I$18))))</f>
        <v>NC-Landslide</v>
      </c>
      <c r="AD297" s="226">
        <f t="shared" si="68"/>
        <v>84054</v>
      </c>
      <c r="AE297" s="226">
        <f t="shared" si="69"/>
        <v>0</v>
      </c>
      <c r="AF297" s="227">
        <f t="shared" si="70"/>
        <v>8019</v>
      </c>
      <c r="AG297" s="341">
        <f t="shared" si="71"/>
        <v>92073</v>
      </c>
    </row>
    <row r="298" spans="1:34">
      <c r="A298" s="352" t="s">
        <v>96</v>
      </c>
      <c r="B298" s="427">
        <v>8</v>
      </c>
      <c r="C298" s="220" t="s">
        <v>32</v>
      </c>
      <c r="D298" s="379" t="s">
        <v>624</v>
      </c>
      <c r="E298"/>
      <c r="F298"/>
      <c r="G298" s="379"/>
      <c r="H298"/>
      <c r="I298"/>
      <c r="J298" t="str">
        <f t="shared" si="61"/>
        <v>NC-Yes</v>
      </c>
      <c r="K298" t="str">
        <f t="shared" si="62"/>
        <v>NC-Yes</v>
      </c>
      <c r="L298" s="352"/>
      <c r="M298" s="352"/>
      <c r="N298" s="255">
        <v>2012</v>
      </c>
      <c r="O298" s="416">
        <v>65854</v>
      </c>
      <c r="P298" s="416"/>
      <c r="Q298" s="416">
        <v>121568</v>
      </c>
      <c r="R298" s="416"/>
      <c r="S298" s="416">
        <v>0</v>
      </c>
      <c r="T298" s="353">
        <f t="shared" si="63"/>
        <v>187422</v>
      </c>
      <c r="U298" s="396"/>
      <c r="V298" s="221">
        <f t="shared" si="64"/>
        <v>121568</v>
      </c>
      <c r="W298" s="388">
        <f t="shared" si="73"/>
        <v>65854</v>
      </c>
      <c r="X298" s="222">
        <f t="shared" si="65"/>
        <v>0.29726499557149105</v>
      </c>
      <c r="Y298" s="421">
        <f t="shared" si="72"/>
        <v>0.29726499557149105</v>
      </c>
      <c r="Z298" s="223">
        <f t="shared" si="66"/>
        <v>0.6486324977857455</v>
      </c>
      <c r="AA298" s="224" t="str">
        <f t="shared" si="60"/>
        <v>NC-No</v>
      </c>
      <c r="AB298" s="225" t="str">
        <f t="shared" si="67"/>
        <v>NC-Rep</v>
      </c>
      <c r="AC298" s="422" t="str">
        <f>C298&amp;"-"&amp;IF(Y298&gt;Instructions!$H$14,Instructions!$I$14,IF(Y298&gt;Instructions!$H$15,Instructions!$I$15,IF(Y298&gt;Instructions!$H$16,Instructions!$I$16,IF(Y298&gt;Instructions!$H$17,Instructions!$I$17,Instructions!$I$18))))</f>
        <v>NC-Landslide</v>
      </c>
      <c r="AD298" s="226">
        <f t="shared" si="68"/>
        <v>65854</v>
      </c>
      <c r="AE298" s="226">
        <f t="shared" si="69"/>
        <v>0</v>
      </c>
      <c r="AF298" s="227">
        <f t="shared" si="70"/>
        <v>0</v>
      </c>
      <c r="AG298" s="341">
        <f t="shared" si="71"/>
        <v>65854</v>
      </c>
    </row>
    <row r="299" spans="1:34">
      <c r="A299" s="352" t="s">
        <v>96</v>
      </c>
      <c r="B299" s="427">
        <v>9</v>
      </c>
      <c r="C299" s="220" t="s">
        <v>32</v>
      </c>
      <c r="D299" s="379" t="s">
        <v>625</v>
      </c>
      <c r="E299" s="381"/>
      <c r="F299" s="379"/>
      <c r="G299" s="379"/>
      <c r="H299"/>
      <c r="I299"/>
      <c r="J299" t="str">
        <f t="shared" si="61"/>
        <v>NC-Yes</v>
      </c>
      <c r="K299" t="str">
        <f t="shared" si="62"/>
        <v>NC-Yes</v>
      </c>
      <c r="L299" s="415"/>
      <c r="M299" s="415"/>
      <c r="N299" s="255">
        <v>1994</v>
      </c>
      <c r="O299" s="416">
        <v>0</v>
      </c>
      <c r="P299" s="416"/>
      <c r="Q299" s="416">
        <v>163080</v>
      </c>
      <c r="R299" s="416"/>
      <c r="S299" s="416">
        <v>10588</v>
      </c>
      <c r="T299" s="353">
        <f t="shared" si="63"/>
        <v>173668</v>
      </c>
      <c r="U299" s="228"/>
      <c r="V299" s="221">
        <f t="shared" si="64"/>
        <v>163080</v>
      </c>
      <c r="W299" s="388">
        <v>2369</v>
      </c>
      <c r="X299" s="222">
        <f t="shared" si="65"/>
        <v>1</v>
      </c>
      <c r="Y299" s="421">
        <f t="shared" si="72"/>
        <v>0.92539212750765831</v>
      </c>
      <c r="Z299" s="223">
        <f t="shared" si="66"/>
        <v>0.9390330976345671</v>
      </c>
      <c r="AA299" s="224" t="str">
        <f t="shared" si="60"/>
        <v>NC-Yes</v>
      </c>
      <c r="AB299" s="225" t="str">
        <f t="shared" si="67"/>
        <v>NC-Rep</v>
      </c>
      <c r="AC299" s="422" t="str">
        <f>C299&amp;"-"&amp;IF(Y299&gt;Instructions!$H$14,Instructions!$I$14,IF(Y299&gt;Instructions!$H$15,Instructions!$I$15,IF(Y299&gt;Instructions!$H$16,Instructions!$I$16,IF(Y299&gt;Instructions!$H$17,Instructions!$I$17,Instructions!$I$18))))</f>
        <v>NC-No contest</v>
      </c>
      <c r="AD299" s="226">
        <f t="shared" si="68"/>
        <v>0</v>
      </c>
      <c r="AE299" s="226">
        <f t="shared" si="69"/>
        <v>0</v>
      </c>
      <c r="AF299" s="227">
        <f t="shared" si="70"/>
        <v>10588</v>
      </c>
      <c r="AG299" s="341">
        <f t="shared" si="71"/>
        <v>10588</v>
      </c>
    </row>
    <row r="300" spans="1:34">
      <c r="A300" s="352" t="s">
        <v>96</v>
      </c>
      <c r="B300" s="427">
        <v>10</v>
      </c>
      <c r="C300" s="220" t="s">
        <v>32</v>
      </c>
      <c r="D300" s="379" t="s">
        <v>626</v>
      </c>
      <c r="E300"/>
      <c r="F300" s="379"/>
      <c r="G300"/>
      <c r="H300"/>
      <c r="I300"/>
      <c r="J300" t="str">
        <f t="shared" si="61"/>
        <v>NC-Yes</v>
      </c>
      <c r="K300" t="str">
        <f t="shared" si="62"/>
        <v>NC-Yes</v>
      </c>
      <c r="L300" s="415"/>
      <c r="M300" s="415"/>
      <c r="N300" s="255">
        <v>2004</v>
      </c>
      <c r="O300" s="416">
        <v>85292</v>
      </c>
      <c r="P300" s="416"/>
      <c r="Q300" s="416">
        <v>133504</v>
      </c>
      <c r="R300" s="416"/>
      <c r="S300" s="416">
        <v>0</v>
      </c>
      <c r="T300" s="353">
        <f t="shared" si="63"/>
        <v>218796</v>
      </c>
      <c r="U300" s="228"/>
      <c r="V300" s="221">
        <f t="shared" si="64"/>
        <v>133504</v>
      </c>
      <c r="W300" s="388">
        <f t="shared" si="73"/>
        <v>85292</v>
      </c>
      <c r="X300" s="222">
        <f t="shared" si="65"/>
        <v>0.22035137753889467</v>
      </c>
      <c r="Y300" s="421">
        <f t="shared" si="72"/>
        <v>0.22035137753889472</v>
      </c>
      <c r="Z300" s="223">
        <f t="shared" si="66"/>
        <v>0.61017568876944739</v>
      </c>
      <c r="AA300" s="224" t="str">
        <f t="shared" si="60"/>
        <v>NC-No</v>
      </c>
      <c r="AB300" s="225" t="str">
        <f t="shared" si="67"/>
        <v>NC-Rep</v>
      </c>
      <c r="AC300" s="422" t="str">
        <f>C300&amp;"-"&amp;IF(Y300&gt;Instructions!$H$14,Instructions!$I$14,IF(Y300&gt;Instructions!$H$15,Instructions!$I$15,IF(Y300&gt;Instructions!$H$16,Instructions!$I$16,IF(Y300&gt;Instructions!$H$17,Instructions!$I$17,Instructions!$I$18))))</f>
        <v>NC-Landslide</v>
      </c>
      <c r="AD300" s="226">
        <f t="shared" si="68"/>
        <v>85292</v>
      </c>
      <c r="AE300" s="226">
        <f t="shared" si="69"/>
        <v>0</v>
      </c>
      <c r="AF300" s="227">
        <f t="shared" si="70"/>
        <v>0</v>
      </c>
      <c r="AG300" s="341">
        <f t="shared" si="71"/>
        <v>85292</v>
      </c>
    </row>
    <row r="301" spans="1:34">
      <c r="A301" s="352" t="s">
        <v>96</v>
      </c>
      <c r="B301" s="427">
        <v>11</v>
      </c>
      <c r="C301" s="220" t="s">
        <v>32</v>
      </c>
      <c r="D301" s="379" t="s">
        <v>627</v>
      </c>
      <c r="E301" s="379"/>
      <c r="F301"/>
      <c r="G301"/>
      <c r="H301" s="379"/>
      <c r="I301"/>
      <c r="J301" t="str">
        <f t="shared" si="61"/>
        <v>NC-Yes</v>
      </c>
      <c r="K301" t="str">
        <f t="shared" si="62"/>
        <v>NC-Yes</v>
      </c>
      <c r="L301" s="415"/>
      <c r="M301" s="415"/>
      <c r="N301" s="255">
        <v>2012</v>
      </c>
      <c r="O301" s="416">
        <v>85342</v>
      </c>
      <c r="P301" s="416"/>
      <c r="Q301" s="416">
        <v>144682</v>
      </c>
      <c r="R301" s="416"/>
      <c r="S301" s="416">
        <v>0</v>
      </c>
      <c r="T301" s="353">
        <f t="shared" si="63"/>
        <v>230024</v>
      </c>
      <c r="U301" s="228"/>
      <c r="V301" s="221">
        <f t="shared" si="64"/>
        <v>144682</v>
      </c>
      <c r="W301" s="388">
        <f t="shared" si="73"/>
        <v>85342</v>
      </c>
      <c r="X301" s="222">
        <f t="shared" si="65"/>
        <v>0.25797308106980144</v>
      </c>
      <c r="Y301" s="421">
        <f t="shared" si="72"/>
        <v>0.25797308106980138</v>
      </c>
      <c r="Z301" s="223">
        <f t="shared" si="66"/>
        <v>0.62898654053490066</v>
      </c>
      <c r="AA301" s="224" t="str">
        <f t="shared" si="60"/>
        <v>NC-No</v>
      </c>
      <c r="AB301" s="225" t="str">
        <f t="shared" si="67"/>
        <v>NC-Rep</v>
      </c>
      <c r="AC301" s="422" t="str">
        <f>C301&amp;"-"&amp;IF(Y301&gt;Instructions!$H$14,Instructions!$I$14,IF(Y301&gt;Instructions!$H$15,Instructions!$I$15,IF(Y301&gt;Instructions!$H$16,Instructions!$I$16,IF(Y301&gt;Instructions!$H$17,Instructions!$I$17,Instructions!$I$18))))</f>
        <v>NC-Landslide</v>
      </c>
      <c r="AD301" s="226">
        <f t="shared" si="68"/>
        <v>85342</v>
      </c>
      <c r="AE301" s="226">
        <f t="shared" si="69"/>
        <v>0</v>
      </c>
      <c r="AF301" s="227">
        <f t="shared" si="70"/>
        <v>0</v>
      </c>
      <c r="AG301" s="341">
        <f t="shared" si="71"/>
        <v>85342</v>
      </c>
    </row>
    <row r="302" spans="1:34">
      <c r="A302" s="352" t="s">
        <v>96</v>
      </c>
      <c r="B302" s="427">
        <v>12</v>
      </c>
      <c r="C302" s="220" t="s">
        <v>32</v>
      </c>
      <c r="D302" s="379" t="s">
        <v>812</v>
      </c>
      <c r="E302" t="s">
        <v>365</v>
      </c>
      <c r="F302" s="414" t="s">
        <v>365</v>
      </c>
      <c r="G302"/>
      <c r="H302"/>
      <c r="I302"/>
      <c r="J302" t="str">
        <f t="shared" si="61"/>
        <v>NC-No</v>
      </c>
      <c r="K302" t="str">
        <f t="shared" si="62"/>
        <v>NC-No</v>
      </c>
      <c r="L302" s="415">
        <v>0</v>
      </c>
      <c r="M302" s="354"/>
      <c r="N302" s="255">
        <v>2014</v>
      </c>
      <c r="O302" s="416">
        <v>130096</v>
      </c>
      <c r="P302" s="416"/>
      <c r="Q302" s="416">
        <v>42568</v>
      </c>
      <c r="R302" s="416"/>
      <c r="S302" s="416">
        <v>0</v>
      </c>
      <c r="T302" s="353">
        <f t="shared" si="63"/>
        <v>172664</v>
      </c>
      <c r="U302" s="228"/>
      <c r="V302" s="221">
        <f t="shared" si="64"/>
        <v>130096</v>
      </c>
      <c r="W302" s="388">
        <f t="shared" si="73"/>
        <v>42568</v>
      </c>
      <c r="X302" s="222">
        <f t="shared" si="65"/>
        <v>0.5069267479034425</v>
      </c>
      <c r="Y302" s="421">
        <f t="shared" si="72"/>
        <v>0.5069267479034425</v>
      </c>
      <c r="Z302" s="223">
        <f t="shared" si="66"/>
        <v>0.75346337395172125</v>
      </c>
      <c r="AA302" s="224" t="str">
        <f t="shared" si="60"/>
        <v>NC-No</v>
      </c>
      <c r="AB302" s="225" t="str">
        <f t="shared" si="67"/>
        <v>NC-Dem</v>
      </c>
      <c r="AC302" s="422" t="str">
        <f>C302&amp;"-"&amp;IF(Y302&gt;Instructions!$H$14,Instructions!$I$14,IF(Y302&gt;Instructions!$H$15,Instructions!$I$15,IF(Y302&gt;Instructions!$H$16,Instructions!$I$16,IF(Y302&gt;Instructions!$H$17,Instructions!$I$17,Instructions!$I$18))))</f>
        <v>NC-No contest</v>
      </c>
      <c r="AD302" s="226">
        <f t="shared" si="68"/>
        <v>0</v>
      </c>
      <c r="AE302" s="226">
        <f t="shared" si="69"/>
        <v>42568</v>
      </c>
      <c r="AF302" s="227">
        <f t="shared" si="70"/>
        <v>0</v>
      </c>
      <c r="AG302" s="341">
        <f t="shared" si="71"/>
        <v>42568</v>
      </c>
    </row>
    <row r="303" spans="1:34">
      <c r="A303" s="415" t="s">
        <v>96</v>
      </c>
      <c r="B303" s="427">
        <v>13</v>
      </c>
      <c r="C303" s="384" t="s">
        <v>32</v>
      </c>
      <c r="D303" s="379" t="s">
        <v>628</v>
      </c>
      <c r="E303" s="381"/>
      <c r="F303" s="379"/>
      <c r="G303" s="379"/>
      <c r="H303" s="379"/>
      <c r="I303" s="379"/>
      <c r="J303" s="379" t="str">
        <f t="shared" si="61"/>
        <v>NC-Yes</v>
      </c>
      <c r="K303" s="379" t="str">
        <f t="shared" si="62"/>
        <v>NC-Yes</v>
      </c>
      <c r="L303" s="415"/>
      <c r="M303" s="415"/>
      <c r="N303" s="412">
        <v>2012</v>
      </c>
      <c r="O303" s="416">
        <v>114718</v>
      </c>
      <c r="P303" s="416"/>
      <c r="Q303" s="416">
        <v>153991</v>
      </c>
      <c r="R303" s="416"/>
      <c r="S303" s="416">
        <v>0</v>
      </c>
      <c r="T303" s="353">
        <f t="shared" si="63"/>
        <v>268709</v>
      </c>
      <c r="U303" s="396"/>
      <c r="V303" s="388">
        <f t="shared" si="64"/>
        <v>153991</v>
      </c>
      <c r="W303" s="388">
        <f t="shared" si="73"/>
        <v>114718</v>
      </c>
      <c r="X303" s="389">
        <f t="shared" si="65"/>
        <v>0.14615439006508901</v>
      </c>
      <c r="Y303" s="421">
        <f t="shared" si="72"/>
        <v>0.14615439006508901</v>
      </c>
      <c r="Z303" s="390">
        <f t="shared" si="66"/>
        <v>0.57307719503254451</v>
      </c>
      <c r="AA303" s="391" t="str">
        <f t="shared" si="60"/>
        <v>NC-No</v>
      </c>
      <c r="AB303" s="392" t="str">
        <f t="shared" si="67"/>
        <v>NC-Rep</v>
      </c>
      <c r="AC303" s="422" t="str">
        <f>C303&amp;"-"&amp;IF(Y303&gt;Instructions!$H$14,Instructions!$I$14,IF(Y303&gt;Instructions!$H$15,Instructions!$I$15,IF(Y303&gt;Instructions!$H$16,Instructions!$I$16,IF(Y303&gt;Instructions!$H$17,Instructions!$I$17,Instructions!$I$18))))</f>
        <v>NC-Opportunity</v>
      </c>
      <c r="AD303" s="394">
        <f t="shared" si="68"/>
        <v>114718</v>
      </c>
      <c r="AE303" s="394">
        <f t="shared" si="69"/>
        <v>0</v>
      </c>
      <c r="AF303" s="395">
        <f t="shared" si="70"/>
        <v>0</v>
      </c>
      <c r="AG303" s="413">
        <f t="shared" si="71"/>
        <v>114718</v>
      </c>
      <c r="AH303" s="380"/>
    </row>
    <row r="304" spans="1:34">
      <c r="A304" s="352" t="s">
        <v>97</v>
      </c>
      <c r="B304" s="426" t="s">
        <v>0</v>
      </c>
      <c r="C304" s="220" t="s">
        <v>33</v>
      </c>
      <c r="D304" s="379" t="s">
        <v>629</v>
      </c>
      <c r="E304"/>
      <c r="F304"/>
      <c r="G304"/>
      <c r="H304"/>
      <c r="I304"/>
      <c r="J304" t="str">
        <f t="shared" si="61"/>
        <v>ND-Yes</v>
      </c>
      <c r="K304" t="str">
        <f t="shared" si="62"/>
        <v>ND-Yes</v>
      </c>
      <c r="L304" s="352"/>
      <c r="M304" s="352"/>
      <c r="N304" s="255">
        <v>2012</v>
      </c>
      <c r="O304" s="416">
        <v>95678</v>
      </c>
      <c r="P304" s="416"/>
      <c r="Q304" s="416">
        <v>138100</v>
      </c>
      <c r="R304" s="416"/>
      <c r="S304" s="416">
        <v>14892</v>
      </c>
      <c r="T304" s="353">
        <f t="shared" si="63"/>
        <v>248670</v>
      </c>
      <c r="U304" s="228"/>
      <c r="V304" s="221">
        <f t="shared" si="64"/>
        <v>138100</v>
      </c>
      <c r="W304" s="388">
        <f t="shared" si="73"/>
        <v>95678</v>
      </c>
      <c r="X304" s="222">
        <f t="shared" si="65"/>
        <v>0.18146275526354064</v>
      </c>
      <c r="Y304" s="421">
        <f t="shared" si="72"/>
        <v>0.17059556842401574</v>
      </c>
      <c r="Z304" s="223">
        <f t="shared" si="66"/>
        <v>0.55535448586480074</v>
      </c>
      <c r="AA304" s="224" t="str">
        <f t="shared" si="60"/>
        <v>ND-No</v>
      </c>
      <c r="AB304" s="225" t="str">
        <f t="shared" si="67"/>
        <v>ND-Rep</v>
      </c>
      <c r="AC304" s="422" t="str">
        <f>C304&amp;"-"&amp;IF(Y304&gt;Instructions!$H$14,Instructions!$I$14,IF(Y304&gt;Instructions!$H$15,Instructions!$I$15,IF(Y304&gt;Instructions!$H$16,Instructions!$I$16,IF(Y304&gt;Instructions!$H$17,Instructions!$I$17,Instructions!$I$18))))</f>
        <v>ND-Opportunity</v>
      </c>
      <c r="AD304" s="226">
        <f t="shared" si="68"/>
        <v>95678</v>
      </c>
      <c r="AE304" s="226">
        <f t="shared" si="69"/>
        <v>0</v>
      </c>
      <c r="AF304" s="227">
        <f t="shared" si="70"/>
        <v>14892</v>
      </c>
      <c r="AG304" s="341">
        <f t="shared" si="71"/>
        <v>110570</v>
      </c>
    </row>
    <row r="305" spans="1:34">
      <c r="A305" s="352" t="s">
        <v>98</v>
      </c>
      <c r="B305" s="427">
        <v>1</v>
      </c>
      <c r="C305" s="220" t="s">
        <v>34</v>
      </c>
      <c r="D305" s="379" t="s">
        <v>630</v>
      </c>
      <c r="E305"/>
      <c r="F305"/>
      <c r="G305"/>
      <c r="H305"/>
      <c r="I305"/>
      <c r="J305" t="str">
        <f t="shared" si="61"/>
        <v>OH-Yes</v>
      </c>
      <c r="K305" t="str">
        <f t="shared" si="62"/>
        <v>OH-Yes</v>
      </c>
      <c r="L305" s="352"/>
      <c r="M305" s="352"/>
      <c r="N305" s="255">
        <v>2010</v>
      </c>
      <c r="O305" s="416">
        <v>72604</v>
      </c>
      <c r="P305" s="416"/>
      <c r="Q305" s="416">
        <v>124779</v>
      </c>
      <c r="R305" s="416"/>
      <c r="S305" s="416">
        <v>0</v>
      </c>
      <c r="T305" s="353">
        <f t="shared" si="63"/>
        <v>197383</v>
      </c>
      <c r="U305" s="228"/>
      <c r="V305" s="221">
        <f t="shared" si="64"/>
        <v>124779</v>
      </c>
      <c r="W305" s="388">
        <f t="shared" si="73"/>
        <v>72604</v>
      </c>
      <c r="X305" s="222">
        <f t="shared" si="65"/>
        <v>0.2643338078760582</v>
      </c>
      <c r="Y305" s="421">
        <f t="shared" si="72"/>
        <v>0.2643338078760582</v>
      </c>
      <c r="Z305" s="223">
        <f t="shared" si="66"/>
        <v>0.6321669039380291</v>
      </c>
      <c r="AA305" s="224" t="str">
        <f t="shared" si="60"/>
        <v>OH-No</v>
      </c>
      <c r="AB305" s="225" t="str">
        <f t="shared" si="67"/>
        <v>OH-Rep</v>
      </c>
      <c r="AC305" s="422" t="str">
        <f>C305&amp;"-"&amp;IF(Y305&gt;Instructions!$H$14,Instructions!$I$14,IF(Y305&gt;Instructions!$H$15,Instructions!$I$15,IF(Y305&gt;Instructions!$H$16,Instructions!$I$16,IF(Y305&gt;Instructions!$H$17,Instructions!$I$17,Instructions!$I$18))))</f>
        <v>OH-Landslide</v>
      </c>
      <c r="AD305" s="226">
        <f t="shared" si="68"/>
        <v>72604</v>
      </c>
      <c r="AE305" s="226">
        <f t="shared" si="69"/>
        <v>0</v>
      </c>
      <c r="AF305" s="227">
        <f t="shared" si="70"/>
        <v>0</v>
      </c>
      <c r="AG305" s="341">
        <f t="shared" si="71"/>
        <v>72604</v>
      </c>
    </row>
    <row r="306" spans="1:34">
      <c r="A306" s="352" t="s">
        <v>98</v>
      </c>
      <c r="B306" s="427">
        <v>2</v>
      </c>
      <c r="C306" s="220" t="s">
        <v>34</v>
      </c>
      <c r="D306" s="379" t="s">
        <v>631</v>
      </c>
      <c r="E306" s="379"/>
      <c r="F306" s="414"/>
      <c r="G306"/>
      <c r="H306" s="379"/>
      <c r="I306"/>
      <c r="J306" t="str">
        <f t="shared" si="61"/>
        <v>OH-Yes</v>
      </c>
      <c r="K306" t="str">
        <f t="shared" si="62"/>
        <v>OH-Yes</v>
      </c>
      <c r="L306" s="415"/>
      <c r="M306" s="415"/>
      <c r="N306" s="255">
        <v>2012</v>
      </c>
      <c r="O306" s="416">
        <v>68453</v>
      </c>
      <c r="P306" s="416"/>
      <c r="Q306" s="416">
        <v>132658</v>
      </c>
      <c r="R306" s="416"/>
      <c r="S306" s="416">
        <v>0</v>
      </c>
      <c r="T306" s="353">
        <f t="shared" si="63"/>
        <v>201111</v>
      </c>
      <c r="U306" s="228"/>
      <c r="V306" s="221">
        <f t="shared" si="64"/>
        <v>132658</v>
      </c>
      <c r="W306" s="388">
        <f t="shared" si="73"/>
        <v>68453</v>
      </c>
      <c r="X306" s="222">
        <f t="shared" si="65"/>
        <v>0.31925155759754564</v>
      </c>
      <c r="Y306" s="421">
        <f t="shared" si="72"/>
        <v>0.31925155759754564</v>
      </c>
      <c r="Z306" s="223">
        <f t="shared" si="66"/>
        <v>0.65962577879877282</v>
      </c>
      <c r="AA306" s="224" t="str">
        <f t="shared" si="60"/>
        <v>OH-No</v>
      </c>
      <c r="AB306" s="225" t="str">
        <f t="shared" si="67"/>
        <v>OH-Rep</v>
      </c>
      <c r="AC306" s="422" t="str">
        <f>C306&amp;"-"&amp;IF(Y306&gt;Instructions!$H$14,Instructions!$I$14,IF(Y306&gt;Instructions!$H$15,Instructions!$I$15,IF(Y306&gt;Instructions!$H$16,Instructions!$I$16,IF(Y306&gt;Instructions!$H$17,Instructions!$I$17,Instructions!$I$18))))</f>
        <v>OH-Landslide</v>
      </c>
      <c r="AD306" s="226">
        <f t="shared" si="68"/>
        <v>68453</v>
      </c>
      <c r="AE306" s="226">
        <f t="shared" si="69"/>
        <v>0</v>
      </c>
      <c r="AF306" s="227">
        <f t="shared" si="70"/>
        <v>0</v>
      </c>
      <c r="AG306" s="341">
        <f t="shared" si="71"/>
        <v>68453</v>
      </c>
    </row>
    <row r="307" spans="1:34">
      <c r="A307" s="352" t="s">
        <v>98</v>
      </c>
      <c r="B307" s="427">
        <v>3</v>
      </c>
      <c r="C307" s="220" t="s">
        <v>34</v>
      </c>
      <c r="D307" s="379" t="s">
        <v>632</v>
      </c>
      <c r="E307" s="414" t="s">
        <v>366</v>
      </c>
      <c r="F307" s="414" t="s">
        <v>366</v>
      </c>
      <c r="G307"/>
      <c r="H307"/>
      <c r="I307"/>
      <c r="J307" t="str">
        <f t="shared" si="61"/>
        <v>OH-Yes</v>
      </c>
      <c r="K307" t="str">
        <f t="shared" si="62"/>
        <v>OH-Yes</v>
      </c>
      <c r="L307" s="417"/>
      <c r="M307" s="417"/>
      <c r="N307" s="255">
        <v>2012</v>
      </c>
      <c r="O307" s="416">
        <v>91769</v>
      </c>
      <c r="P307" s="416"/>
      <c r="Q307" s="416">
        <v>51475</v>
      </c>
      <c r="R307" s="416"/>
      <c r="S307" s="416">
        <v>17</v>
      </c>
      <c r="T307" s="353">
        <f t="shared" si="63"/>
        <v>143261</v>
      </c>
      <c r="U307" s="228"/>
      <c r="V307" s="221">
        <f t="shared" si="64"/>
        <v>91769</v>
      </c>
      <c r="W307" s="388">
        <f t="shared" si="73"/>
        <v>51475</v>
      </c>
      <c r="X307" s="222">
        <f t="shared" si="65"/>
        <v>0.28129624975566164</v>
      </c>
      <c r="Y307" s="421">
        <f t="shared" si="72"/>
        <v>0.28126286986688637</v>
      </c>
      <c r="Z307" s="223">
        <f t="shared" si="66"/>
        <v>0.64057210266576392</v>
      </c>
      <c r="AA307" s="224" t="str">
        <f t="shared" si="60"/>
        <v>OH-No</v>
      </c>
      <c r="AB307" s="225" t="str">
        <f t="shared" si="67"/>
        <v>OH-Dem</v>
      </c>
      <c r="AC307" s="422" t="str">
        <f>C307&amp;"-"&amp;IF(Y307&gt;Instructions!$H$14,Instructions!$I$14,IF(Y307&gt;Instructions!$H$15,Instructions!$I$15,IF(Y307&gt;Instructions!$H$16,Instructions!$I$16,IF(Y307&gt;Instructions!$H$17,Instructions!$I$17,Instructions!$I$18))))</f>
        <v>OH-Landslide</v>
      </c>
      <c r="AD307" s="226">
        <f t="shared" si="68"/>
        <v>0</v>
      </c>
      <c r="AE307" s="226">
        <f t="shared" si="69"/>
        <v>51475</v>
      </c>
      <c r="AF307" s="227">
        <f t="shared" si="70"/>
        <v>17</v>
      </c>
      <c r="AG307" s="341">
        <f t="shared" si="71"/>
        <v>51492</v>
      </c>
      <c r="AH307" s="413">
        <f>SUM(AG295:AG307)</f>
        <v>992285</v>
      </c>
    </row>
    <row r="308" spans="1:34">
      <c r="A308" s="352" t="s">
        <v>98</v>
      </c>
      <c r="B308" s="427">
        <v>4</v>
      </c>
      <c r="C308" s="220" t="s">
        <v>34</v>
      </c>
      <c r="D308" s="379" t="s">
        <v>633</v>
      </c>
      <c r="E308"/>
      <c r="F308"/>
      <c r="G308"/>
      <c r="H308"/>
      <c r="I308"/>
      <c r="J308" t="str">
        <f t="shared" si="61"/>
        <v>OH-Yes</v>
      </c>
      <c r="K308" t="str">
        <f t="shared" si="62"/>
        <v>OH-Yes</v>
      </c>
      <c r="L308" s="415"/>
      <c r="M308" s="415"/>
      <c r="N308" s="255">
        <v>2006</v>
      </c>
      <c r="O308" s="416">
        <v>60165</v>
      </c>
      <c r="P308" s="416"/>
      <c r="Q308" s="416">
        <v>125907</v>
      </c>
      <c r="R308" s="416"/>
      <c r="S308" s="416">
        <v>0</v>
      </c>
      <c r="T308" s="353">
        <f t="shared" si="63"/>
        <v>186072</v>
      </c>
      <c r="U308" s="228"/>
      <c r="V308" s="221">
        <f t="shared" si="64"/>
        <v>125907</v>
      </c>
      <c r="W308" s="388">
        <f t="shared" si="73"/>
        <v>60165</v>
      </c>
      <c r="X308" s="222">
        <f t="shared" si="65"/>
        <v>0.35331484586611633</v>
      </c>
      <c r="Y308" s="421">
        <f t="shared" si="72"/>
        <v>0.35331484586611639</v>
      </c>
      <c r="Z308" s="223">
        <f t="shared" si="66"/>
        <v>0.67665742293305819</v>
      </c>
      <c r="AA308" s="224" t="str">
        <f t="shared" si="60"/>
        <v>OH-No</v>
      </c>
      <c r="AB308" s="225" t="str">
        <f t="shared" si="67"/>
        <v>OH-Rep</v>
      </c>
      <c r="AC308" s="422" t="str">
        <f>C308&amp;"-"&amp;IF(Y308&gt;Instructions!$H$14,Instructions!$I$14,IF(Y308&gt;Instructions!$H$15,Instructions!$I$15,IF(Y308&gt;Instructions!$H$16,Instructions!$I$16,IF(Y308&gt;Instructions!$H$17,Instructions!$I$17,Instructions!$I$18))))</f>
        <v>OH-Landslide</v>
      </c>
      <c r="AD308" s="226">
        <f t="shared" si="68"/>
        <v>60165</v>
      </c>
      <c r="AE308" s="226">
        <f t="shared" si="69"/>
        <v>0</v>
      </c>
      <c r="AF308" s="227">
        <f t="shared" si="70"/>
        <v>0</v>
      </c>
      <c r="AG308" s="341">
        <f t="shared" si="71"/>
        <v>60165</v>
      </c>
      <c r="AH308" s="413">
        <f>SUM(AG308)</f>
        <v>60165</v>
      </c>
    </row>
    <row r="309" spans="1:34">
      <c r="A309" s="352" t="s">
        <v>98</v>
      </c>
      <c r="B309" s="427">
        <v>5</v>
      </c>
      <c r="C309" s="220" t="s">
        <v>34</v>
      </c>
      <c r="D309" s="379" t="s">
        <v>634</v>
      </c>
      <c r="E309" s="379"/>
      <c r="F309"/>
      <c r="G309"/>
      <c r="H309"/>
      <c r="I309"/>
      <c r="J309" t="str">
        <f t="shared" si="61"/>
        <v>OH-Yes</v>
      </c>
      <c r="K309" t="str">
        <f t="shared" si="62"/>
        <v>OH-Yes</v>
      </c>
      <c r="L309" s="415"/>
      <c r="M309" s="415"/>
      <c r="N309" s="255">
        <v>2007</v>
      </c>
      <c r="O309" s="416">
        <v>58507</v>
      </c>
      <c r="P309" s="416"/>
      <c r="Q309" s="416">
        <v>134449</v>
      </c>
      <c r="R309" s="416"/>
      <c r="S309" s="416">
        <v>9344</v>
      </c>
      <c r="T309" s="353">
        <f t="shared" si="63"/>
        <v>202300</v>
      </c>
      <c r="U309" s="228"/>
      <c r="V309" s="221">
        <f t="shared" si="64"/>
        <v>134449</v>
      </c>
      <c r="W309" s="388">
        <f t="shared" si="73"/>
        <v>58507</v>
      </c>
      <c r="X309" s="222">
        <f t="shared" si="65"/>
        <v>0.3935715914509007</v>
      </c>
      <c r="Y309" s="421">
        <f t="shared" si="72"/>
        <v>0.37539298072170041</v>
      </c>
      <c r="Z309" s="223">
        <f t="shared" si="66"/>
        <v>0.66460207612456745</v>
      </c>
      <c r="AA309" s="224" t="str">
        <f t="shared" si="60"/>
        <v>OH-No</v>
      </c>
      <c r="AB309" s="225" t="str">
        <f t="shared" si="67"/>
        <v>OH-Rep</v>
      </c>
      <c r="AC309" s="422" t="str">
        <f>C309&amp;"-"&amp;IF(Y309&gt;Instructions!$H$14,Instructions!$I$14,IF(Y309&gt;Instructions!$H$15,Instructions!$I$15,IF(Y309&gt;Instructions!$H$16,Instructions!$I$16,IF(Y309&gt;Instructions!$H$17,Instructions!$I$17,Instructions!$I$18))))</f>
        <v>OH-Landslide</v>
      </c>
      <c r="AD309" s="226">
        <f t="shared" si="68"/>
        <v>58507</v>
      </c>
      <c r="AE309" s="226">
        <f t="shared" si="69"/>
        <v>0</v>
      </c>
      <c r="AF309" s="227">
        <f t="shared" si="70"/>
        <v>9344</v>
      </c>
      <c r="AG309" s="341">
        <f t="shared" si="71"/>
        <v>67851</v>
      </c>
    </row>
    <row r="310" spans="1:34">
      <c r="A310" s="352" t="s">
        <v>98</v>
      </c>
      <c r="B310" s="427">
        <v>6</v>
      </c>
      <c r="C310" s="220" t="s">
        <v>34</v>
      </c>
      <c r="D310" s="379" t="s">
        <v>635</v>
      </c>
      <c r="E310" s="381"/>
      <c r="F310"/>
      <c r="G310"/>
      <c r="H310"/>
      <c r="I310"/>
      <c r="J310" t="str">
        <f t="shared" si="61"/>
        <v>OH-Yes</v>
      </c>
      <c r="K310" t="str">
        <f t="shared" si="62"/>
        <v>OH-Yes</v>
      </c>
      <c r="L310" s="415"/>
      <c r="M310" s="415"/>
      <c r="N310" s="255">
        <v>2010</v>
      </c>
      <c r="O310" s="416">
        <v>73561</v>
      </c>
      <c r="P310" s="416"/>
      <c r="Q310" s="416">
        <v>111026</v>
      </c>
      <c r="R310" s="416"/>
      <c r="S310" s="416">
        <v>6065</v>
      </c>
      <c r="T310" s="353">
        <f t="shared" si="63"/>
        <v>190652</v>
      </c>
      <c r="U310" s="228"/>
      <c r="V310" s="221">
        <f t="shared" si="64"/>
        <v>111026</v>
      </c>
      <c r="W310" s="388">
        <f t="shared" si="73"/>
        <v>73561</v>
      </c>
      <c r="X310" s="222">
        <f t="shared" si="65"/>
        <v>0.20296662278491984</v>
      </c>
      <c r="Y310" s="421">
        <f t="shared" si="72"/>
        <v>0.19650987138870818</v>
      </c>
      <c r="Z310" s="223">
        <f t="shared" si="66"/>
        <v>0.58234899188049427</v>
      </c>
      <c r="AA310" s="224" t="str">
        <f t="shared" si="60"/>
        <v>OH-No</v>
      </c>
      <c r="AB310" s="225" t="str">
        <f t="shared" si="67"/>
        <v>OH-Rep</v>
      </c>
      <c r="AC310" s="422" t="str">
        <f>C310&amp;"-"&amp;IF(Y310&gt;Instructions!$H$14,Instructions!$I$14,IF(Y310&gt;Instructions!$H$15,Instructions!$I$15,IF(Y310&gt;Instructions!$H$16,Instructions!$I$16,IF(Y310&gt;Instructions!$H$17,Instructions!$I$17,Instructions!$I$18))))</f>
        <v>OH-Opportunity</v>
      </c>
      <c r="AD310" s="226">
        <f t="shared" si="68"/>
        <v>73561</v>
      </c>
      <c r="AE310" s="226">
        <f t="shared" si="69"/>
        <v>0</v>
      </c>
      <c r="AF310" s="227">
        <f t="shared" si="70"/>
        <v>6065</v>
      </c>
      <c r="AG310" s="341">
        <f t="shared" si="71"/>
        <v>79626</v>
      </c>
    </row>
    <row r="311" spans="1:34">
      <c r="A311" s="352" t="s">
        <v>98</v>
      </c>
      <c r="B311" s="427">
        <v>7</v>
      </c>
      <c r="C311" s="220" t="s">
        <v>34</v>
      </c>
      <c r="D311" s="379" t="s">
        <v>636</v>
      </c>
      <c r="E311" s="379"/>
      <c r="F311"/>
      <c r="G311"/>
      <c r="H311"/>
      <c r="I311"/>
      <c r="J311" t="str">
        <f t="shared" si="61"/>
        <v>OH-Yes</v>
      </c>
      <c r="K311" t="str">
        <f t="shared" si="62"/>
        <v>OH-Yes</v>
      </c>
      <c r="L311" s="415"/>
      <c r="M311" s="415"/>
      <c r="N311" s="255">
        <v>2010</v>
      </c>
      <c r="O311" s="416">
        <v>0</v>
      </c>
      <c r="P311" s="416"/>
      <c r="Q311" s="416">
        <v>143959</v>
      </c>
      <c r="R311" s="416"/>
      <c r="S311" s="416">
        <v>0</v>
      </c>
      <c r="T311" s="353">
        <f t="shared" si="63"/>
        <v>143959</v>
      </c>
      <c r="U311" s="228"/>
      <c r="V311" s="221">
        <f t="shared" si="64"/>
        <v>143959</v>
      </c>
      <c r="W311" s="388">
        <f t="shared" si="73"/>
        <v>0</v>
      </c>
      <c r="X311" s="222">
        <f t="shared" si="65"/>
        <v>1</v>
      </c>
      <c r="Y311" s="421">
        <f t="shared" si="72"/>
        <v>1</v>
      </c>
      <c r="Z311" s="223">
        <f t="shared" si="66"/>
        <v>1</v>
      </c>
      <c r="AA311" s="224" t="str">
        <f t="shared" si="60"/>
        <v>OH-Yes</v>
      </c>
      <c r="AB311" s="225" t="str">
        <f t="shared" si="67"/>
        <v>OH-Rep</v>
      </c>
      <c r="AC311" s="422" t="str">
        <f>C311&amp;"-"&amp;IF(Y311&gt;Instructions!$H$14,Instructions!$I$14,IF(Y311&gt;Instructions!$H$15,Instructions!$I$15,IF(Y311&gt;Instructions!$H$16,Instructions!$I$16,IF(Y311&gt;Instructions!$H$17,Instructions!$I$17,Instructions!$I$18))))</f>
        <v>OH-No contest</v>
      </c>
      <c r="AD311" s="226">
        <f t="shared" si="68"/>
        <v>0</v>
      </c>
      <c r="AE311" s="226">
        <f t="shared" si="69"/>
        <v>0</v>
      </c>
      <c r="AF311" s="227">
        <f t="shared" si="70"/>
        <v>0</v>
      </c>
      <c r="AG311" s="341">
        <f t="shared" si="71"/>
        <v>0</v>
      </c>
    </row>
    <row r="312" spans="1:34">
      <c r="A312" s="352" t="s">
        <v>98</v>
      </c>
      <c r="B312" s="427">
        <v>8</v>
      </c>
      <c r="C312" s="220" t="s">
        <v>34</v>
      </c>
      <c r="D312" s="379" t="s">
        <v>637</v>
      </c>
      <c r="E312"/>
      <c r="F312" s="379"/>
      <c r="G312"/>
      <c r="H312"/>
      <c r="I312"/>
      <c r="J312" t="str">
        <f t="shared" si="61"/>
        <v>OH-Yes</v>
      </c>
      <c r="K312" t="str">
        <f t="shared" si="62"/>
        <v>OH-Yes</v>
      </c>
      <c r="L312" s="415"/>
      <c r="M312" s="415"/>
      <c r="N312" s="255">
        <v>1990</v>
      </c>
      <c r="O312" s="416">
        <v>51534</v>
      </c>
      <c r="P312" s="416"/>
      <c r="Q312" s="416">
        <v>126539</v>
      </c>
      <c r="R312" s="416"/>
      <c r="S312" s="416">
        <v>10257</v>
      </c>
      <c r="T312" s="353">
        <f t="shared" si="63"/>
        <v>188330</v>
      </c>
      <c r="U312" s="228"/>
      <c r="V312" s="221">
        <f t="shared" si="64"/>
        <v>126539</v>
      </c>
      <c r="W312" s="388">
        <f t="shared" si="73"/>
        <v>51534</v>
      </c>
      <c r="X312" s="222">
        <f t="shared" si="65"/>
        <v>0.42120366366602463</v>
      </c>
      <c r="Y312" s="421">
        <f t="shared" si="72"/>
        <v>0.39826368608293949</v>
      </c>
      <c r="Z312" s="223">
        <f t="shared" si="66"/>
        <v>0.67190038761747994</v>
      </c>
      <c r="AA312" s="224" t="str">
        <f t="shared" si="60"/>
        <v>OH-No</v>
      </c>
      <c r="AB312" s="225" t="str">
        <f t="shared" si="67"/>
        <v>OH-Rep</v>
      </c>
      <c r="AC312" s="422" t="str">
        <f>C312&amp;"-"&amp;IF(Y312&gt;Instructions!$H$14,Instructions!$I$14,IF(Y312&gt;Instructions!$H$15,Instructions!$I$15,IF(Y312&gt;Instructions!$H$16,Instructions!$I$16,IF(Y312&gt;Instructions!$H$17,Instructions!$I$17,Instructions!$I$18))))</f>
        <v>OH-Landslide</v>
      </c>
      <c r="AD312" s="226">
        <f t="shared" si="68"/>
        <v>51534</v>
      </c>
      <c r="AE312" s="226">
        <f t="shared" si="69"/>
        <v>0</v>
      </c>
      <c r="AF312" s="227">
        <f t="shared" si="70"/>
        <v>10257</v>
      </c>
      <c r="AG312" s="341">
        <f t="shared" si="71"/>
        <v>61791</v>
      </c>
    </row>
    <row r="313" spans="1:34">
      <c r="A313" s="352" t="s">
        <v>98</v>
      </c>
      <c r="B313" s="427">
        <v>9</v>
      </c>
      <c r="C313" s="220" t="s">
        <v>34</v>
      </c>
      <c r="D313" s="379" t="s">
        <v>638</v>
      </c>
      <c r="E313" s="414" t="s">
        <v>366</v>
      </c>
      <c r="F313" s="379"/>
      <c r="G313"/>
      <c r="H313"/>
      <c r="I313"/>
      <c r="J313" t="str">
        <f t="shared" si="61"/>
        <v>OH-Yes</v>
      </c>
      <c r="K313" t="str">
        <f t="shared" si="62"/>
        <v>OH-Yes</v>
      </c>
      <c r="L313" s="354"/>
      <c r="M313" s="354"/>
      <c r="N313" s="255">
        <v>1982</v>
      </c>
      <c r="O313" s="416">
        <v>108870</v>
      </c>
      <c r="P313" s="416"/>
      <c r="Q313" s="416">
        <v>51704</v>
      </c>
      <c r="R313" s="416"/>
      <c r="S313" s="416">
        <v>141</v>
      </c>
      <c r="T313" s="353">
        <f t="shared" si="63"/>
        <v>160715</v>
      </c>
      <c r="U313" s="228"/>
      <c r="V313" s="221">
        <f t="shared" si="64"/>
        <v>108870</v>
      </c>
      <c r="W313" s="388">
        <f t="shared" si="73"/>
        <v>51704</v>
      </c>
      <c r="X313" s="222">
        <f t="shared" si="65"/>
        <v>0.35601031300210495</v>
      </c>
      <c r="Y313" s="421">
        <f t="shared" si="72"/>
        <v>0.3556979746756681</v>
      </c>
      <c r="Z313" s="223">
        <f t="shared" si="66"/>
        <v>0.67741032262078837</v>
      </c>
      <c r="AA313" s="224" t="str">
        <f t="shared" ref="AA313:AA376" si="74">C313&amp;"-"&amp;IF(O313*Q313=0,"Yes","No")</f>
        <v>OH-No</v>
      </c>
      <c r="AB313" s="225" t="str">
        <f t="shared" si="67"/>
        <v>OH-Dem</v>
      </c>
      <c r="AC313" s="422" t="str">
        <f>C313&amp;"-"&amp;IF(Y313&gt;Instructions!$H$14,Instructions!$I$14,IF(Y313&gt;Instructions!$H$15,Instructions!$I$15,IF(Y313&gt;Instructions!$H$16,Instructions!$I$16,IF(Y313&gt;Instructions!$H$17,Instructions!$I$17,Instructions!$I$18))))</f>
        <v>OH-Landslide</v>
      </c>
      <c r="AD313" s="226">
        <f t="shared" si="68"/>
        <v>0</v>
      </c>
      <c r="AE313" s="226">
        <f t="shared" si="69"/>
        <v>51704</v>
      </c>
      <c r="AF313" s="227">
        <f t="shared" si="70"/>
        <v>141</v>
      </c>
      <c r="AG313" s="341">
        <f t="shared" si="71"/>
        <v>51845</v>
      </c>
    </row>
    <row r="314" spans="1:34" ht="15" customHeight="1">
      <c r="A314" s="352" t="s">
        <v>98</v>
      </c>
      <c r="B314" s="427">
        <v>10</v>
      </c>
      <c r="C314" s="220" t="s">
        <v>34</v>
      </c>
      <c r="D314" s="379" t="s">
        <v>639</v>
      </c>
      <c r="E314"/>
      <c r="F314"/>
      <c r="G314"/>
      <c r="H314"/>
      <c r="I314"/>
      <c r="J314" t="str">
        <f t="shared" si="61"/>
        <v>OH-Yes</v>
      </c>
      <c r="K314" t="str">
        <f t="shared" si="62"/>
        <v>OH-Yes</v>
      </c>
      <c r="L314" s="415"/>
      <c r="M314" s="415"/>
      <c r="N314" s="255">
        <v>2002</v>
      </c>
      <c r="O314" s="416">
        <v>63249</v>
      </c>
      <c r="P314" s="416"/>
      <c r="Q314" s="416">
        <v>130752</v>
      </c>
      <c r="R314" s="416"/>
      <c r="S314" s="416">
        <v>6605</v>
      </c>
      <c r="T314" s="353">
        <f t="shared" si="63"/>
        <v>200606</v>
      </c>
      <c r="U314" s="228"/>
      <c r="V314" s="221">
        <f t="shared" si="64"/>
        <v>130752</v>
      </c>
      <c r="W314" s="388">
        <f t="shared" si="73"/>
        <v>63249</v>
      </c>
      <c r="X314" s="222">
        <f t="shared" si="65"/>
        <v>0.3479518146813676</v>
      </c>
      <c r="Y314" s="421">
        <f t="shared" si="72"/>
        <v>0.33649541888079115</v>
      </c>
      <c r="Z314" s="223">
        <f t="shared" si="66"/>
        <v>0.6517850911737435</v>
      </c>
      <c r="AA314" s="224" t="str">
        <f t="shared" si="74"/>
        <v>OH-No</v>
      </c>
      <c r="AB314" s="225" t="str">
        <f t="shared" si="67"/>
        <v>OH-Rep</v>
      </c>
      <c r="AC314" s="422" t="str">
        <f>C314&amp;"-"&amp;IF(Y314&gt;Instructions!$H$14,Instructions!$I$14,IF(Y314&gt;Instructions!$H$15,Instructions!$I$15,IF(Y314&gt;Instructions!$H$16,Instructions!$I$16,IF(Y314&gt;Instructions!$H$17,Instructions!$I$17,Instructions!$I$18))))</f>
        <v>OH-Landslide</v>
      </c>
      <c r="AD314" s="226">
        <f t="shared" si="68"/>
        <v>63249</v>
      </c>
      <c r="AE314" s="226">
        <f t="shared" si="69"/>
        <v>0</v>
      </c>
      <c r="AF314" s="227">
        <f t="shared" si="70"/>
        <v>6605</v>
      </c>
      <c r="AG314" s="341">
        <f t="shared" si="71"/>
        <v>69854</v>
      </c>
    </row>
    <row r="315" spans="1:34">
      <c r="A315" s="352" t="s">
        <v>98</v>
      </c>
      <c r="B315" s="427">
        <v>11</v>
      </c>
      <c r="C315" s="220" t="s">
        <v>34</v>
      </c>
      <c r="D315" s="379" t="s">
        <v>640</v>
      </c>
      <c r="E315" s="414" t="s">
        <v>366</v>
      </c>
      <c r="F315" s="414" t="s">
        <v>366</v>
      </c>
      <c r="G315"/>
      <c r="H315" s="414"/>
      <c r="I315"/>
      <c r="J315" t="str">
        <f t="shared" si="61"/>
        <v>OH-Yes</v>
      </c>
      <c r="K315" t="str">
        <f t="shared" si="62"/>
        <v>OH-Yes</v>
      </c>
      <c r="L315" s="354"/>
      <c r="M315" s="354"/>
      <c r="N315" s="255">
        <v>2008</v>
      </c>
      <c r="O315" s="416">
        <v>137105</v>
      </c>
      <c r="P315" s="416"/>
      <c r="Q315" s="416">
        <v>35461</v>
      </c>
      <c r="R315" s="416"/>
      <c r="S315" s="416">
        <v>0</v>
      </c>
      <c r="T315" s="353">
        <f t="shared" si="63"/>
        <v>172566</v>
      </c>
      <c r="U315" s="228"/>
      <c r="V315" s="221">
        <f t="shared" si="64"/>
        <v>137105</v>
      </c>
      <c r="W315" s="388">
        <f t="shared" si="73"/>
        <v>35461</v>
      </c>
      <c r="X315" s="222">
        <f t="shared" si="65"/>
        <v>0.58901521736610918</v>
      </c>
      <c r="Y315" s="421">
        <f t="shared" si="72"/>
        <v>0.58901521736610918</v>
      </c>
      <c r="Z315" s="223">
        <f t="shared" si="66"/>
        <v>0.79450760868305459</v>
      </c>
      <c r="AA315" s="224" t="str">
        <f t="shared" si="74"/>
        <v>OH-No</v>
      </c>
      <c r="AB315" s="225" t="str">
        <f t="shared" si="67"/>
        <v>OH-Dem</v>
      </c>
      <c r="AC315" s="422" t="str">
        <f>C315&amp;"-"&amp;IF(Y315&gt;Instructions!$H$14,Instructions!$I$14,IF(Y315&gt;Instructions!$H$15,Instructions!$I$15,IF(Y315&gt;Instructions!$H$16,Instructions!$I$16,IF(Y315&gt;Instructions!$H$17,Instructions!$I$17,Instructions!$I$18))))</f>
        <v>OH-No contest</v>
      </c>
      <c r="AD315" s="226">
        <f t="shared" si="68"/>
        <v>0</v>
      </c>
      <c r="AE315" s="226">
        <f t="shared" si="69"/>
        <v>35461</v>
      </c>
      <c r="AF315" s="227">
        <f t="shared" si="70"/>
        <v>0</v>
      </c>
      <c r="AG315" s="341">
        <f t="shared" si="71"/>
        <v>35461</v>
      </c>
      <c r="AH315" s="380"/>
    </row>
    <row r="316" spans="1:34">
      <c r="A316" s="352" t="s">
        <v>98</v>
      </c>
      <c r="B316" s="427">
        <v>12</v>
      </c>
      <c r="C316" s="220" t="s">
        <v>34</v>
      </c>
      <c r="D316" s="379" t="s">
        <v>641</v>
      </c>
      <c r="E316"/>
      <c r="F316" s="379"/>
      <c r="G316"/>
      <c r="H316"/>
      <c r="I316"/>
      <c r="J316" t="str">
        <f t="shared" si="61"/>
        <v>OH-Yes</v>
      </c>
      <c r="K316" t="str">
        <f t="shared" si="62"/>
        <v>OH-Yes</v>
      </c>
      <c r="L316" s="415"/>
      <c r="M316" s="415"/>
      <c r="N316" s="255">
        <v>2000</v>
      </c>
      <c r="O316" s="416">
        <v>61360</v>
      </c>
      <c r="P316" s="416"/>
      <c r="Q316" s="416">
        <v>150573</v>
      </c>
      <c r="R316" s="416"/>
      <c r="S316" s="416">
        <v>9148</v>
      </c>
      <c r="T316" s="353">
        <f t="shared" si="63"/>
        <v>221081</v>
      </c>
      <c r="U316" s="228"/>
      <c r="V316" s="221">
        <f t="shared" si="64"/>
        <v>150573</v>
      </c>
      <c r="W316" s="388">
        <f t="shared" si="73"/>
        <v>61360</v>
      </c>
      <c r="X316" s="222">
        <f t="shared" si="65"/>
        <v>0.42094907352795458</v>
      </c>
      <c r="Y316" s="421">
        <f t="shared" si="72"/>
        <v>0.40353083259076988</v>
      </c>
      <c r="Z316" s="223">
        <f t="shared" si="66"/>
        <v>0.68107616665385085</v>
      </c>
      <c r="AA316" s="224" t="str">
        <f t="shared" si="74"/>
        <v>OH-No</v>
      </c>
      <c r="AB316" s="225" t="str">
        <f t="shared" si="67"/>
        <v>OH-Rep</v>
      </c>
      <c r="AC316" s="422" t="str">
        <f>C316&amp;"-"&amp;IF(Y316&gt;Instructions!$H$14,Instructions!$I$14,IF(Y316&gt;Instructions!$H$15,Instructions!$I$15,IF(Y316&gt;Instructions!$H$16,Instructions!$I$16,IF(Y316&gt;Instructions!$H$17,Instructions!$I$17,Instructions!$I$18))))</f>
        <v>OH-No contest</v>
      </c>
      <c r="AD316" s="226">
        <f t="shared" si="68"/>
        <v>61360</v>
      </c>
      <c r="AE316" s="226">
        <f t="shared" si="69"/>
        <v>0</v>
      </c>
      <c r="AF316" s="227">
        <f t="shared" si="70"/>
        <v>9148</v>
      </c>
      <c r="AG316" s="341">
        <f t="shared" si="71"/>
        <v>70508</v>
      </c>
    </row>
    <row r="317" spans="1:34">
      <c r="A317" s="352" t="s">
        <v>98</v>
      </c>
      <c r="B317" s="427">
        <v>13</v>
      </c>
      <c r="C317" s="220" t="s">
        <v>34</v>
      </c>
      <c r="D317" s="379" t="s">
        <v>642</v>
      </c>
      <c r="E317" s="414"/>
      <c r="F317"/>
      <c r="G317"/>
      <c r="H317"/>
      <c r="I317"/>
      <c r="J317" t="str">
        <f t="shared" si="61"/>
        <v>OH-Yes</v>
      </c>
      <c r="K317" t="str">
        <f t="shared" si="62"/>
        <v>OH-Yes</v>
      </c>
      <c r="L317" s="417"/>
      <c r="M317" s="417"/>
      <c r="N317" s="255">
        <v>2002</v>
      </c>
      <c r="O317" s="416">
        <v>120230</v>
      </c>
      <c r="P317" s="416"/>
      <c r="Q317" s="416">
        <v>55233</v>
      </c>
      <c r="R317" s="416"/>
      <c r="S317" s="416">
        <v>0</v>
      </c>
      <c r="T317" s="353">
        <f t="shared" si="63"/>
        <v>175463</v>
      </c>
      <c r="U317" s="228"/>
      <c r="V317" s="221">
        <f t="shared" si="64"/>
        <v>120230</v>
      </c>
      <c r="W317" s="388">
        <f t="shared" si="73"/>
        <v>55233</v>
      </c>
      <c r="X317" s="222">
        <f t="shared" si="65"/>
        <v>0.37043137299601625</v>
      </c>
      <c r="Y317" s="421">
        <f t="shared" si="72"/>
        <v>0.37043137299601625</v>
      </c>
      <c r="Z317" s="223">
        <f t="shared" si="66"/>
        <v>0.68521568649800813</v>
      </c>
      <c r="AA317" s="224" t="str">
        <f t="shared" si="74"/>
        <v>OH-No</v>
      </c>
      <c r="AB317" s="225" t="str">
        <f t="shared" si="67"/>
        <v>OH-Dem</v>
      </c>
      <c r="AC317" s="422" t="str">
        <f>C317&amp;"-"&amp;IF(Y317&gt;Instructions!$H$14,Instructions!$I$14,IF(Y317&gt;Instructions!$H$15,Instructions!$I$15,IF(Y317&gt;Instructions!$H$16,Instructions!$I$16,IF(Y317&gt;Instructions!$H$17,Instructions!$I$17,Instructions!$I$18))))</f>
        <v>OH-Landslide</v>
      </c>
      <c r="AD317" s="226">
        <f t="shared" si="68"/>
        <v>0</v>
      </c>
      <c r="AE317" s="226">
        <f t="shared" si="69"/>
        <v>55233</v>
      </c>
      <c r="AF317" s="227">
        <f t="shared" si="70"/>
        <v>0</v>
      </c>
      <c r="AG317" s="341">
        <f t="shared" si="71"/>
        <v>55233</v>
      </c>
    </row>
    <row r="318" spans="1:34">
      <c r="A318" s="352" t="s">
        <v>98</v>
      </c>
      <c r="B318" s="427">
        <v>14</v>
      </c>
      <c r="C318" s="220" t="s">
        <v>34</v>
      </c>
      <c r="D318" s="379" t="s">
        <v>643</v>
      </c>
      <c r="E318"/>
      <c r="F318"/>
      <c r="G318"/>
      <c r="H318"/>
      <c r="I318"/>
      <c r="J318" t="str">
        <f t="shared" si="61"/>
        <v>OH-Yes</v>
      </c>
      <c r="K318" t="str">
        <f t="shared" si="62"/>
        <v>OH-Yes</v>
      </c>
      <c r="L318" s="415"/>
      <c r="M318" s="415"/>
      <c r="N318" s="255">
        <v>2012</v>
      </c>
      <c r="O318" s="416">
        <v>70856</v>
      </c>
      <c r="P318" s="416"/>
      <c r="Q318" s="416">
        <v>135736</v>
      </c>
      <c r="R318" s="416"/>
      <c r="S318" s="416">
        <v>7988</v>
      </c>
      <c r="T318" s="353">
        <f t="shared" si="63"/>
        <v>214580</v>
      </c>
      <c r="U318" s="228"/>
      <c r="V318" s="221">
        <f t="shared" si="64"/>
        <v>135736</v>
      </c>
      <c r="W318" s="388">
        <f t="shared" si="73"/>
        <v>70856</v>
      </c>
      <c r="X318" s="222">
        <f t="shared" si="65"/>
        <v>0.31404894671623296</v>
      </c>
      <c r="Y318" s="421">
        <f t="shared" si="72"/>
        <v>0.30235809488302734</v>
      </c>
      <c r="Z318" s="223">
        <f t="shared" si="66"/>
        <v>0.63256594277192657</v>
      </c>
      <c r="AA318" s="224" t="str">
        <f t="shared" si="74"/>
        <v>OH-No</v>
      </c>
      <c r="AB318" s="225" t="str">
        <f t="shared" si="67"/>
        <v>OH-Rep</v>
      </c>
      <c r="AC318" s="422" t="str">
        <f>C318&amp;"-"&amp;IF(Y318&gt;Instructions!$H$14,Instructions!$I$14,IF(Y318&gt;Instructions!$H$15,Instructions!$I$15,IF(Y318&gt;Instructions!$H$16,Instructions!$I$16,IF(Y318&gt;Instructions!$H$17,Instructions!$I$17,Instructions!$I$18))))</f>
        <v>OH-Landslide</v>
      </c>
      <c r="AD318" s="226">
        <f t="shared" si="68"/>
        <v>70856</v>
      </c>
      <c r="AE318" s="226">
        <f t="shared" si="69"/>
        <v>0</v>
      </c>
      <c r="AF318" s="227">
        <f t="shared" si="70"/>
        <v>7988</v>
      </c>
      <c r="AG318" s="341">
        <f t="shared" si="71"/>
        <v>78844</v>
      </c>
    </row>
    <row r="319" spans="1:34">
      <c r="A319" s="352" t="s">
        <v>98</v>
      </c>
      <c r="B319" s="427">
        <v>15</v>
      </c>
      <c r="C319" s="220" t="s">
        <v>34</v>
      </c>
      <c r="D319" s="379" t="s">
        <v>644</v>
      </c>
      <c r="E319" s="414"/>
      <c r="F319" s="414"/>
      <c r="G319"/>
      <c r="H319"/>
      <c r="I319"/>
      <c r="J319" t="str">
        <f t="shared" si="61"/>
        <v>OH-Yes</v>
      </c>
      <c r="K319" t="str">
        <f t="shared" si="62"/>
        <v>OH-Yes</v>
      </c>
      <c r="L319" s="415"/>
      <c r="M319" s="415"/>
      <c r="N319" s="255">
        <v>2010</v>
      </c>
      <c r="O319" s="416">
        <v>66125</v>
      </c>
      <c r="P319" s="416"/>
      <c r="Q319" s="416">
        <v>128496</v>
      </c>
      <c r="R319" s="416"/>
      <c r="S319" s="416">
        <v>0</v>
      </c>
      <c r="T319" s="353">
        <f t="shared" si="63"/>
        <v>194621</v>
      </c>
      <c r="U319" s="228"/>
      <c r="V319" s="221">
        <f t="shared" si="64"/>
        <v>128496</v>
      </c>
      <c r="W319" s="388">
        <f t="shared" si="73"/>
        <v>66125</v>
      </c>
      <c r="X319" s="222">
        <f t="shared" si="65"/>
        <v>0.32047415232683008</v>
      </c>
      <c r="Y319" s="421">
        <f t="shared" si="72"/>
        <v>0.32047415232683013</v>
      </c>
      <c r="Z319" s="223">
        <f t="shared" si="66"/>
        <v>0.66023707616341509</v>
      </c>
      <c r="AA319" s="224" t="str">
        <f t="shared" si="74"/>
        <v>OH-No</v>
      </c>
      <c r="AB319" s="225" t="str">
        <f t="shared" si="67"/>
        <v>OH-Rep</v>
      </c>
      <c r="AC319" s="422" t="str">
        <f>C319&amp;"-"&amp;IF(Y319&gt;Instructions!$H$14,Instructions!$I$14,IF(Y319&gt;Instructions!$H$15,Instructions!$I$15,IF(Y319&gt;Instructions!$H$16,Instructions!$I$16,IF(Y319&gt;Instructions!$H$17,Instructions!$I$17,Instructions!$I$18))))</f>
        <v>OH-Landslide</v>
      </c>
      <c r="AD319" s="226">
        <f t="shared" si="68"/>
        <v>66125</v>
      </c>
      <c r="AE319" s="226">
        <f t="shared" si="69"/>
        <v>0</v>
      </c>
      <c r="AF319" s="227">
        <f t="shared" si="70"/>
        <v>0</v>
      </c>
      <c r="AG319" s="341">
        <f t="shared" si="71"/>
        <v>66125</v>
      </c>
    </row>
    <row r="320" spans="1:34">
      <c r="A320" s="352" t="s">
        <v>98</v>
      </c>
      <c r="B320" s="427">
        <v>16</v>
      </c>
      <c r="C320" s="220" t="s">
        <v>34</v>
      </c>
      <c r="D320" s="379" t="s">
        <v>645</v>
      </c>
      <c r="E320"/>
      <c r="F320"/>
      <c r="G320"/>
      <c r="H320"/>
      <c r="I320"/>
      <c r="J320" t="str">
        <f t="shared" si="61"/>
        <v>OH-Yes</v>
      </c>
      <c r="K320" t="str">
        <f t="shared" si="62"/>
        <v>OH-Yes</v>
      </c>
      <c r="L320" s="415"/>
      <c r="M320" s="415"/>
      <c r="N320" s="255">
        <v>2010</v>
      </c>
      <c r="O320" s="416">
        <v>75199</v>
      </c>
      <c r="P320" s="416"/>
      <c r="Q320" s="416">
        <v>132176</v>
      </c>
      <c r="R320" s="416"/>
      <c r="S320" s="416">
        <v>0</v>
      </c>
      <c r="T320" s="353">
        <f t="shared" si="63"/>
        <v>207375</v>
      </c>
      <c r="U320" s="228"/>
      <c r="V320" s="221">
        <f t="shared" si="64"/>
        <v>132176</v>
      </c>
      <c r="W320" s="388">
        <f t="shared" si="73"/>
        <v>75199</v>
      </c>
      <c r="X320" s="222">
        <f t="shared" si="65"/>
        <v>0.27475346594333938</v>
      </c>
      <c r="Y320" s="421">
        <f t="shared" si="72"/>
        <v>0.27475346594333933</v>
      </c>
      <c r="Z320" s="223">
        <f t="shared" si="66"/>
        <v>0.63737673297166964</v>
      </c>
      <c r="AA320" s="224" t="str">
        <f t="shared" si="74"/>
        <v>OH-No</v>
      </c>
      <c r="AB320" s="225" t="str">
        <f t="shared" si="67"/>
        <v>OH-Rep</v>
      </c>
      <c r="AC320" s="422" t="str">
        <f>C320&amp;"-"&amp;IF(Y320&gt;Instructions!$H$14,Instructions!$I$14,IF(Y320&gt;Instructions!$H$15,Instructions!$I$15,IF(Y320&gt;Instructions!$H$16,Instructions!$I$16,IF(Y320&gt;Instructions!$H$17,Instructions!$I$17,Instructions!$I$18))))</f>
        <v>OH-Landslide</v>
      </c>
      <c r="AD320" s="226">
        <f t="shared" si="68"/>
        <v>75199</v>
      </c>
      <c r="AE320" s="226">
        <f t="shared" si="69"/>
        <v>0</v>
      </c>
      <c r="AF320" s="227">
        <f t="shared" si="70"/>
        <v>0</v>
      </c>
      <c r="AG320" s="341">
        <f t="shared" si="71"/>
        <v>75199</v>
      </c>
    </row>
    <row r="321" spans="1:34">
      <c r="A321" s="352" t="s">
        <v>99</v>
      </c>
      <c r="B321" s="427">
        <v>1</v>
      </c>
      <c r="C321" s="220" t="s">
        <v>35</v>
      </c>
      <c r="D321" s="379" t="s">
        <v>646</v>
      </c>
      <c r="E321" s="414"/>
      <c r="F321"/>
      <c r="G321"/>
      <c r="H321"/>
      <c r="I321"/>
      <c r="J321" t="str">
        <f t="shared" si="61"/>
        <v>OK-Yes</v>
      </c>
      <c r="K321" t="str">
        <f t="shared" si="62"/>
        <v>OK-Yes</v>
      </c>
      <c r="L321" s="415"/>
      <c r="M321" s="415"/>
      <c r="N321" s="255">
        <v>2012</v>
      </c>
      <c r="O321" s="416">
        <v>0</v>
      </c>
      <c r="P321" s="416"/>
      <c r="Q321" s="416">
        <v>1</v>
      </c>
      <c r="R321" s="416"/>
      <c r="S321" s="416">
        <v>0</v>
      </c>
      <c r="T321" s="353">
        <f t="shared" si="63"/>
        <v>1</v>
      </c>
      <c r="U321" s="228"/>
      <c r="V321" s="221">
        <f t="shared" si="64"/>
        <v>1</v>
      </c>
      <c r="W321" s="388">
        <f t="shared" si="73"/>
        <v>0</v>
      </c>
      <c r="X321" s="222">
        <f t="shared" si="65"/>
        <v>1</v>
      </c>
      <c r="Y321" s="421">
        <f t="shared" si="72"/>
        <v>1</v>
      </c>
      <c r="Z321" s="223">
        <f t="shared" si="66"/>
        <v>1</v>
      </c>
      <c r="AA321" s="224" t="str">
        <f t="shared" si="74"/>
        <v>OK-Yes</v>
      </c>
      <c r="AB321" s="225" t="str">
        <f t="shared" si="67"/>
        <v>OK-Rep</v>
      </c>
      <c r="AC321" s="422" t="str">
        <f>C321&amp;"-"&amp;IF(Y321&gt;Instructions!$H$14,Instructions!$I$14,IF(Y321&gt;Instructions!$H$15,Instructions!$I$15,IF(Y321&gt;Instructions!$H$16,Instructions!$I$16,IF(Y321&gt;Instructions!$H$17,Instructions!$I$17,Instructions!$I$18))))</f>
        <v>OK-No contest</v>
      </c>
      <c r="AD321" s="226">
        <f t="shared" si="68"/>
        <v>0</v>
      </c>
      <c r="AE321" s="226">
        <f t="shared" si="69"/>
        <v>0</v>
      </c>
      <c r="AF321" s="227">
        <f t="shared" si="70"/>
        <v>0</v>
      </c>
      <c r="AG321" s="341">
        <f t="shared" si="71"/>
        <v>0</v>
      </c>
    </row>
    <row r="322" spans="1:34">
      <c r="A322" s="352" t="s">
        <v>99</v>
      </c>
      <c r="B322" s="427">
        <v>2</v>
      </c>
      <c r="C322" s="220" t="s">
        <v>35</v>
      </c>
      <c r="D322" s="379" t="s">
        <v>647</v>
      </c>
      <c r="E322"/>
      <c r="F322"/>
      <c r="G322"/>
      <c r="H322"/>
      <c r="I322" s="425" t="s">
        <v>367</v>
      </c>
      <c r="J322" t="str">
        <f t="shared" si="61"/>
        <v>OK-Yes</v>
      </c>
      <c r="K322" t="str">
        <f t="shared" si="62"/>
        <v>OK-Yes</v>
      </c>
      <c r="L322" s="415"/>
      <c r="M322" s="415"/>
      <c r="N322" s="255">
        <v>2012</v>
      </c>
      <c r="O322" s="416">
        <v>38964</v>
      </c>
      <c r="P322" s="416"/>
      <c r="Q322" s="416">
        <v>110925</v>
      </c>
      <c r="R322" s="416"/>
      <c r="S322" s="416">
        <v>8518</v>
      </c>
      <c r="T322" s="353">
        <f t="shared" si="63"/>
        <v>158407</v>
      </c>
      <c r="U322" s="228"/>
      <c r="V322" s="221">
        <f t="shared" si="64"/>
        <v>110925</v>
      </c>
      <c r="W322" s="388">
        <f t="shared" si="73"/>
        <v>38964</v>
      </c>
      <c r="X322" s="222">
        <f t="shared" si="65"/>
        <v>0.48009527050017015</v>
      </c>
      <c r="Y322" s="421">
        <f t="shared" si="72"/>
        <v>0.45427916695600573</v>
      </c>
      <c r="Z322" s="223">
        <f t="shared" si="66"/>
        <v>0.70025314537867644</v>
      </c>
      <c r="AA322" s="224" t="str">
        <f t="shared" si="74"/>
        <v>OK-No</v>
      </c>
      <c r="AB322" s="225" t="str">
        <f t="shared" si="67"/>
        <v>OK-Rep</v>
      </c>
      <c r="AC322" s="422" t="str">
        <f>C322&amp;"-"&amp;IF(Y322&gt;Instructions!$H$14,Instructions!$I$14,IF(Y322&gt;Instructions!$H$15,Instructions!$I$15,IF(Y322&gt;Instructions!$H$16,Instructions!$I$16,IF(Y322&gt;Instructions!$H$17,Instructions!$I$17,Instructions!$I$18))))</f>
        <v>OK-No contest</v>
      </c>
      <c r="AD322" s="226">
        <f t="shared" si="68"/>
        <v>38964</v>
      </c>
      <c r="AE322" s="226">
        <f t="shared" si="69"/>
        <v>0</v>
      </c>
      <c r="AF322" s="227">
        <f t="shared" si="70"/>
        <v>8518</v>
      </c>
      <c r="AG322" s="341">
        <f t="shared" si="71"/>
        <v>47482</v>
      </c>
    </row>
    <row r="323" spans="1:34">
      <c r="A323" s="352" t="s">
        <v>99</v>
      </c>
      <c r="B323" s="427">
        <v>3</v>
      </c>
      <c r="C323" s="220" t="s">
        <v>35</v>
      </c>
      <c r="D323" s="379" t="s">
        <v>648</v>
      </c>
      <c r="E323" s="379"/>
      <c r="F323" s="379"/>
      <c r="G323"/>
      <c r="H323"/>
      <c r="I323"/>
      <c r="J323" t="str">
        <f t="shared" si="61"/>
        <v>OK-Yes</v>
      </c>
      <c r="K323" t="str">
        <f t="shared" si="62"/>
        <v>OK-Yes</v>
      </c>
      <c r="L323" s="415"/>
      <c r="M323" s="415"/>
      <c r="N323" s="255">
        <v>1994</v>
      </c>
      <c r="O323" s="416">
        <v>36270</v>
      </c>
      <c r="P323" s="416"/>
      <c r="Q323" s="416">
        <v>133335</v>
      </c>
      <c r="R323" s="416"/>
      <c r="S323" s="416">
        <v>0</v>
      </c>
      <c r="T323" s="353">
        <f t="shared" si="63"/>
        <v>169605</v>
      </c>
      <c r="U323" s="228"/>
      <c r="V323" s="221">
        <f t="shared" si="64"/>
        <v>133335</v>
      </c>
      <c r="W323" s="388">
        <f t="shared" si="73"/>
        <v>36270</v>
      </c>
      <c r="X323" s="222">
        <f t="shared" si="65"/>
        <v>0.57230034491907666</v>
      </c>
      <c r="Y323" s="421">
        <f t="shared" si="72"/>
        <v>0.57230034491907666</v>
      </c>
      <c r="Z323" s="223">
        <f t="shared" si="66"/>
        <v>0.78615017245953833</v>
      </c>
      <c r="AA323" s="224" t="str">
        <f t="shared" si="74"/>
        <v>OK-No</v>
      </c>
      <c r="AB323" s="225" t="str">
        <f t="shared" si="67"/>
        <v>OK-Rep</v>
      </c>
      <c r="AC323" s="422" t="str">
        <f>C323&amp;"-"&amp;IF(Y323&gt;Instructions!$H$14,Instructions!$I$14,IF(Y323&gt;Instructions!$H$15,Instructions!$I$15,IF(Y323&gt;Instructions!$H$16,Instructions!$I$16,IF(Y323&gt;Instructions!$H$17,Instructions!$I$17,Instructions!$I$18))))</f>
        <v>OK-No contest</v>
      </c>
      <c r="AD323" s="226">
        <f t="shared" si="68"/>
        <v>36270</v>
      </c>
      <c r="AE323" s="226">
        <f t="shared" si="69"/>
        <v>0</v>
      </c>
      <c r="AF323" s="227">
        <f t="shared" si="70"/>
        <v>0</v>
      </c>
      <c r="AG323" s="341">
        <f t="shared" si="71"/>
        <v>36270</v>
      </c>
    </row>
    <row r="324" spans="1:34">
      <c r="A324" s="352" t="s">
        <v>99</v>
      </c>
      <c r="B324" s="427">
        <v>4</v>
      </c>
      <c r="C324" s="220" t="s">
        <v>35</v>
      </c>
      <c r="D324" s="379" t="s">
        <v>649</v>
      </c>
      <c r="E324"/>
      <c r="F324"/>
      <c r="G324"/>
      <c r="H324"/>
      <c r="I324" s="414" t="s">
        <v>367</v>
      </c>
      <c r="J324" t="str">
        <f t="shared" si="61"/>
        <v>OK-Yes</v>
      </c>
      <c r="K324" t="str">
        <f t="shared" si="62"/>
        <v>OK-Yes</v>
      </c>
      <c r="L324" s="352"/>
      <c r="M324" s="352"/>
      <c r="N324" s="255">
        <v>2002</v>
      </c>
      <c r="O324" s="416">
        <v>40998</v>
      </c>
      <c r="P324" s="416"/>
      <c r="Q324" s="416">
        <v>117721</v>
      </c>
      <c r="R324" s="416"/>
      <c r="S324" s="416">
        <v>7549</v>
      </c>
      <c r="T324" s="353">
        <f t="shared" si="63"/>
        <v>166268</v>
      </c>
      <c r="U324" s="228"/>
      <c r="V324" s="221">
        <f t="shared" si="64"/>
        <v>117721</v>
      </c>
      <c r="W324" s="388">
        <f t="shared" si="73"/>
        <v>40998</v>
      </c>
      <c r="X324" s="222">
        <f t="shared" si="65"/>
        <v>0.48338888223842136</v>
      </c>
      <c r="Y324" s="421">
        <f t="shared" si="72"/>
        <v>0.46144176871075615</v>
      </c>
      <c r="Z324" s="223">
        <f t="shared" si="66"/>
        <v>0.70801958284215849</v>
      </c>
      <c r="AA324" s="224" t="str">
        <f t="shared" si="74"/>
        <v>OK-No</v>
      </c>
      <c r="AB324" s="225" t="str">
        <f t="shared" si="67"/>
        <v>OK-Rep</v>
      </c>
      <c r="AC324" s="422" t="str">
        <f>C324&amp;"-"&amp;IF(Y324&gt;Instructions!$H$14,Instructions!$I$14,IF(Y324&gt;Instructions!$H$15,Instructions!$I$15,IF(Y324&gt;Instructions!$H$16,Instructions!$I$16,IF(Y324&gt;Instructions!$H$17,Instructions!$I$17,Instructions!$I$18))))</f>
        <v>OK-No contest</v>
      </c>
      <c r="AD324" s="226">
        <f t="shared" si="68"/>
        <v>40998</v>
      </c>
      <c r="AE324" s="226">
        <f t="shared" si="69"/>
        <v>0</v>
      </c>
      <c r="AF324" s="227">
        <f t="shared" si="70"/>
        <v>7549</v>
      </c>
      <c r="AG324" s="341">
        <f t="shared" si="71"/>
        <v>48547</v>
      </c>
    </row>
    <row r="325" spans="1:34">
      <c r="A325" s="352" t="s">
        <v>99</v>
      </c>
      <c r="B325" s="427">
        <v>5</v>
      </c>
      <c r="C325" s="220" t="s">
        <v>35</v>
      </c>
      <c r="D325" s="379" t="s">
        <v>813</v>
      </c>
      <c r="E325"/>
      <c r="F325"/>
      <c r="G325" s="379"/>
      <c r="H325"/>
      <c r="I325"/>
      <c r="J325" t="str">
        <f t="shared" si="61"/>
        <v>OK-No</v>
      </c>
      <c r="K325" t="str">
        <f t="shared" si="62"/>
        <v>OK-No</v>
      </c>
      <c r="L325" s="415">
        <v>0</v>
      </c>
      <c r="M325" s="415"/>
      <c r="N325" s="255">
        <v>2014</v>
      </c>
      <c r="O325" s="416">
        <v>57790</v>
      </c>
      <c r="P325" s="416"/>
      <c r="Q325" s="416">
        <v>95632</v>
      </c>
      <c r="R325" s="416"/>
      <c r="S325" s="416">
        <v>5711</v>
      </c>
      <c r="T325" s="353">
        <f t="shared" si="63"/>
        <v>159133</v>
      </c>
      <c r="U325" s="228"/>
      <c r="V325" s="221">
        <f t="shared" si="64"/>
        <v>95632</v>
      </c>
      <c r="W325" s="388">
        <f t="shared" si="73"/>
        <v>57790</v>
      </c>
      <c r="X325" s="222">
        <f t="shared" si="65"/>
        <v>0.24665302238270914</v>
      </c>
      <c r="Y325" s="421">
        <f t="shared" si="72"/>
        <v>0.23780108462732436</v>
      </c>
      <c r="Z325" s="223">
        <f t="shared" si="66"/>
        <v>0.60095643266952803</v>
      </c>
      <c r="AA325" s="224" t="str">
        <f t="shared" si="74"/>
        <v>OK-No</v>
      </c>
      <c r="AB325" s="225" t="str">
        <f t="shared" si="67"/>
        <v>OK-Rep</v>
      </c>
      <c r="AC325" s="422" t="str">
        <f>C325&amp;"-"&amp;IF(Y325&gt;Instructions!$H$14,Instructions!$I$14,IF(Y325&gt;Instructions!$H$15,Instructions!$I$15,IF(Y325&gt;Instructions!$H$16,Instructions!$I$16,IF(Y325&gt;Instructions!$H$17,Instructions!$I$17,Instructions!$I$18))))</f>
        <v>OK-Landslide</v>
      </c>
      <c r="AD325" s="226">
        <f t="shared" si="68"/>
        <v>57790</v>
      </c>
      <c r="AE325" s="226">
        <f t="shared" si="69"/>
        <v>0</v>
      </c>
      <c r="AF325" s="227">
        <f t="shared" si="70"/>
        <v>5711</v>
      </c>
      <c r="AG325" s="341">
        <f t="shared" si="71"/>
        <v>63501</v>
      </c>
    </row>
    <row r="326" spans="1:34">
      <c r="A326" s="352" t="s">
        <v>100</v>
      </c>
      <c r="B326" s="427">
        <v>1</v>
      </c>
      <c r="C326" s="220" t="s">
        <v>36</v>
      </c>
      <c r="D326" s="379" t="s">
        <v>650</v>
      </c>
      <c r="E326" s="414" t="s">
        <v>368</v>
      </c>
      <c r="F326"/>
      <c r="G326"/>
      <c r="H326"/>
      <c r="I326"/>
      <c r="J326" t="str">
        <f t="shared" si="61"/>
        <v>OR-Yes</v>
      </c>
      <c r="K326" t="str">
        <f t="shared" si="62"/>
        <v>OR-Yes</v>
      </c>
      <c r="L326" s="417"/>
      <c r="M326" s="417"/>
      <c r="N326" s="255">
        <v>2012</v>
      </c>
      <c r="O326" s="416">
        <v>160038</v>
      </c>
      <c r="P326" s="416"/>
      <c r="Q326" s="416">
        <v>96245</v>
      </c>
      <c r="R326" s="416"/>
      <c r="S326" s="416">
        <v>22970</v>
      </c>
      <c r="T326" s="353">
        <f t="shared" si="63"/>
        <v>279253</v>
      </c>
      <c r="U326" s="228"/>
      <c r="V326" s="221">
        <f t="shared" si="64"/>
        <v>160038</v>
      </c>
      <c r="W326" s="388">
        <f t="shared" si="73"/>
        <v>96245</v>
      </c>
      <c r="X326" s="222">
        <f t="shared" si="65"/>
        <v>0.24891623712848687</v>
      </c>
      <c r="Y326" s="421">
        <f t="shared" si="72"/>
        <v>0.22844159239112916</v>
      </c>
      <c r="Z326" s="223">
        <f t="shared" si="66"/>
        <v>0.57309321654556977</v>
      </c>
      <c r="AA326" s="224" t="str">
        <f t="shared" si="74"/>
        <v>OR-No</v>
      </c>
      <c r="AB326" s="225" t="str">
        <f t="shared" si="67"/>
        <v>OR-Dem</v>
      </c>
      <c r="AC326" s="422" t="str">
        <f>C326&amp;"-"&amp;IF(Y326&gt;Instructions!$H$14,Instructions!$I$14,IF(Y326&gt;Instructions!$H$15,Instructions!$I$15,IF(Y326&gt;Instructions!$H$16,Instructions!$I$16,IF(Y326&gt;Instructions!$H$17,Instructions!$I$17,Instructions!$I$18))))</f>
        <v>OR-Landslide</v>
      </c>
      <c r="AD326" s="226">
        <f t="shared" si="68"/>
        <v>0</v>
      </c>
      <c r="AE326" s="226">
        <f t="shared" si="69"/>
        <v>96245</v>
      </c>
      <c r="AF326" s="227">
        <f t="shared" si="70"/>
        <v>22970</v>
      </c>
      <c r="AG326" s="341">
        <f t="shared" si="71"/>
        <v>119215</v>
      </c>
      <c r="AH326" s="413">
        <f>SUM(AG319:AG326)</f>
        <v>456339</v>
      </c>
    </row>
    <row r="327" spans="1:34">
      <c r="A327" s="352" t="s">
        <v>100</v>
      </c>
      <c r="B327" s="427">
        <v>2</v>
      </c>
      <c r="C327" s="220" t="s">
        <v>36</v>
      </c>
      <c r="D327" s="379" t="s">
        <v>651</v>
      </c>
      <c r="E327" s="379"/>
      <c r="F327"/>
      <c r="G327"/>
      <c r="H327"/>
      <c r="I327"/>
      <c r="J327" t="str">
        <f t="shared" ref="J327:J390" si="75">C327&amp;"-"&amp;IF(L327=1, "Yes", IF(L327="", "Yes", IF(L327=0, "No")))</f>
        <v>OR-Yes</v>
      </c>
      <c r="K327" t="str">
        <f t="shared" ref="K327:K390" si="76">C327&amp;"-"&amp;IF(L327=1, "No", IF(M327=1, "No", IF(L327="", "Yes", IF(L327=0, "No"))))</f>
        <v>OR-Yes</v>
      </c>
      <c r="L327" s="415"/>
      <c r="M327" s="415"/>
      <c r="N327" s="255">
        <v>1998</v>
      </c>
      <c r="O327" s="416">
        <v>73785</v>
      </c>
      <c r="P327" s="416"/>
      <c r="Q327" s="416">
        <v>202374</v>
      </c>
      <c r="R327" s="416"/>
      <c r="S327" s="416">
        <v>11266</v>
      </c>
      <c r="T327" s="353">
        <f t="shared" ref="T327:T390" si="77">O327+Q327+P327+R327+S327</f>
        <v>287425</v>
      </c>
      <c r="U327" s="228"/>
      <c r="V327" s="221">
        <f t="shared" ref="V327:V390" si="78">MAX(O327:S327)</f>
        <v>202374</v>
      </c>
      <c r="W327" s="388">
        <f t="shared" si="73"/>
        <v>73785</v>
      </c>
      <c r="X327" s="222">
        <f t="shared" ref="X327:X390" si="79">ABS(O327-Q327)/(O327+Q327)</f>
        <v>0.46563392828044714</v>
      </c>
      <c r="Y327" s="421">
        <f t="shared" si="72"/>
        <v>0.4473827955118726</v>
      </c>
      <c r="Z327" s="223">
        <f t="shared" ref="Z327:Z390" si="80">V327/T327</f>
        <v>0.70409324171523002</v>
      </c>
      <c r="AA327" s="224" t="str">
        <f t="shared" si="74"/>
        <v>OR-No</v>
      </c>
      <c r="AB327" s="225" t="str">
        <f t="shared" ref="AB327:AB390" si="81">C327&amp;"-"&amp;IF(S327=MAX(O327:S327),"Other",IF(Q327&gt;O327,"Rep","Dem"))</f>
        <v>OR-Rep</v>
      </c>
      <c r="AC327" s="422" t="str">
        <f>C327&amp;"-"&amp;IF(Y327&gt;Instructions!$H$14,Instructions!$I$14,IF(Y327&gt;Instructions!$H$15,Instructions!$I$15,IF(Y327&gt;Instructions!$H$16,Instructions!$I$16,IF(Y327&gt;Instructions!$H$17,Instructions!$I$17,Instructions!$I$18))))</f>
        <v>OR-No contest</v>
      </c>
      <c r="AD327" s="226">
        <f t="shared" ref="AD327:AD390" si="82">IF(V327=O327,0,O327)</f>
        <v>73785</v>
      </c>
      <c r="AE327" s="226">
        <f t="shared" ref="AE327:AE390" si="83">IF(V327=Q327,0,Q327)</f>
        <v>0</v>
      </c>
      <c r="AF327" s="227">
        <f t="shared" ref="AF327:AF390" si="84">IF(V327=S327,0,S327)</f>
        <v>11266</v>
      </c>
      <c r="AG327" s="341">
        <f t="shared" ref="AG327:AG390" si="85">SUM(AD327:AF327)</f>
        <v>85051</v>
      </c>
    </row>
    <row r="328" spans="1:34">
      <c r="A328" s="352" t="s">
        <v>100</v>
      </c>
      <c r="B328" s="427">
        <v>3</v>
      </c>
      <c r="C328" s="220" t="s">
        <v>36</v>
      </c>
      <c r="D328" s="379" t="s">
        <v>652</v>
      </c>
      <c r="E328" s="379"/>
      <c r="F328"/>
      <c r="G328"/>
      <c r="H328"/>
      <c r="I328"/>
      <c r="J328" t="str">
        <f t="shared" si="75"/>
        <v>OR-Yes</v>
      </c>
      <c r="K328" t="str">
        <f t="shared" si="76"/>
        <v>OR-Yes</v>
      </c>
      <c r="L328" s="354"/>
      <c r="M328" s="354"/>
      <c r="N328" s="255">
        <v>1996</v>
      </c>
      <c r="O328" s="416">
        <v>211748</v>
      </c>
      <c r="P328" s="416"/>
      <c r="Q328" s="416">
        <v>57424</v>
      </c>
      <c r="R328" s="416"/>
      <c r="S328" s="416">
        <v>23585</v>
      </c>
      <c r="T328" s="353">
        <f t="shared" si="77"/>
        <v>292757</v>
      </c>
      <c r="U328" s="228"/>
      <c r="V328" s="221">
        <f t="shared" si="78"/>
        <v>211748</v>
      </c>
      <c r="W328" s="388">
        <f t="shared" si="73"/>
        <v>57424</v>
      </c>
      <c r="X328" s="222">
        <f t="shared" si="79"/>
        <v>0.5733285780095998</v>
      </c>
      <c r="Y328" s="421">
        <f t="shared" ref="Y328:Y391" si="86">(V328/T328)-(W328/T328)</f>
        <v>0.52714025625347982</v>
      </c>
      <c r="Z328" s="223">
        <f t="shared" si="80"/>
        <v>0.72328928087116617</v>
      </c>
      <c r="AA328" s="224" t="str">
        <f t="shared" si="74"/>
        <v>OR-No</v>
      </c>
      <c r="AB328" s="225" t="str">
        <f t="shared" si="81"/>
        <v>OR-Dem</v>
      </c>
      <c r="AC328" s="422" t="str">
        <f>C328&amp;"-"&amp;IF(Y328&gt;Instructions!$H$14,Instructions!$I$14,IF(Y328&gt;Instructions!$H$15,Instructions!$I$15,IF(Y328&gt;Instructions!$H$16,Instructions!$I$16,IF(Y328&gt;Instructions!$H$17,Instructions!$I$17,Instructions!$I$18))))</f>
        <v>OR-No contest</v>
      </c>
      <c r="AD328" s="226">
        <f t="shared" si="82"/>
        <v>0</v>
      </c>
      <c r="AE328" s="226">
        <f t="shared" si="83"/>
        <v>57424</v>
      </c>
      <c r="AF328" s="227">
        <f t="shared" si="84"/>
        <v>23585</v>
      </c>
      <c r="AG328" s="341">
        <f t="shared" si="85"/>
        <v>81009</v>
      </c>
    </row>
    <row r="329" spans="1:34">
      <c r="A329" s="352" t="s">
        <v>100</v>
      </c>
      <c r="B329" s="427">
        <v>4</v>
      </c>
      <c r="C329" s="220" t="s">
        <v>36</v>
      </c>
      <c r="D329" s="379" t="s">
        <v>653</v>
      </c>
      <c r="E329"/>
      <c r="F329"/>
      <c r="G329"/>
      <c r="H329"/>
      <c r="I329"/>
      <c r="J329" t="str">
        <f t="shared" si="75"/>
        <v>OR-Yes</v>
      </c>
      <c r="K329" t="str">
        <f t="shared" si="76"/>
        <v>OR-Yes</v>
      </c>
      <c r="L329" s="417"/>
      <c r="M329" s="417"/>
      <c r="N329" s="255">
        <v>1986</v>
      </c>
      <c r="O329" s="416">
        <v>181624</v>
      </c>
      <c r="P329" s="416"/>
      <c r="Q329" s="416">
        <v>116534</v>
      </c>
      <c r="R329" s="416"/>
      <c r="S329" s="416">
        <v>12021</v>
      </c>
      <c r="T329" s="353">
        <f t="shared" si="77"/>
        <v>310179</v>
      </c>
      <c r="U329" s="228"/>
      <c r="V329" s="221">
        <f t="shared" si="78"/>
        <v>181624</v>
      </c>
      <c r="W329" s="388">
        <f t="shared" si="73"/>
        <v>116534</v>
      </c>
      <c r="X329" s="222">
        <f t="shared" si="79"/>
        <v>0.21830707208929495</v>
      </c>
      <c r="Y329" s="421">
        <f t="shared" si="86"/>
        <v>0.20984657246299715</v>
      </c>
      <c r="Z329" s="223">
        <f t="shared" si="80"/>
        <v>0.58554576550959281</v>
      </c>
      <c r="AA329" s="224" t="str">
        <f t="shared" si="74"/>
        <v>OR-No</v>
      </c>
      <c r="AB329" s="225" t="str">
        <f t="shared" si="81"/>
        <v>OR-Dem</v>
      </c>
      <c r="AC329" s="422" t="str">
        <f>C329&amp;"-"&amp;IF(Y329&gt;Instructions!$H$14,Instructions!$I$14,IF(Y329&gt;Instructions!$H$15,Instructions!$I$15,IF(Y329&gt;Instructions!$H$16,Instructions!$I$16,IF(Y329&gt;Instructions!$H$17,Instructions!$I$17,Instructions!$I$18))))</f>
        <v>OR-Landslide</v>
      </c>
      <c r="AD329" s="226">
        <f t="shared" si="82"/>
        <v>0</v>
      </c>
      <c r="AE329" s="226">
        <f t="shared" si="83"/>
        <v>116534</v>
      </c>
      <c r="AF329" s="227">
        <f t="shared" si="84"/>
        <v>12021</v>
      </c>
      <c r="AG329" s="341">
        <f t="shared" si="85"/>
        <v>128555</v>
      </c>
    </row>
    <row r="330" spans="1:34">
      <c r="A330" s="352" t="s">
        <v>100</v>
      </c>
      <c r="B330" s="427">
        <v>5</v>
      </c>
      <c r="C330" s="220" t="s">
        <v>36</v>
      </c>
      <c r="D330" s="379" t="s">
        <v>654</v>
      </c>
      <c r="E330"/>
      <c r="F330"/>
      <c r="G330"/>
      <c r="H330"/>
      <c r="I330" s="381"/>
      <c r="J330" t="str">
        <f t="shared" si="75"/>
        <v>OR-Yes</v>
      </c>
      <c r="K330" t="str">
        <f t="shared" si="76"/>
        <v>OR-Yes</v>
      </c>
      <c r="L330" s="354"/>
      <c r="M330" s="354"/>
      <c r="N330" s="255">
        <v>2008</v>
      </c>
      <c r="O330" s="416">
        <v>150944</v>
      </c>
      <c r="P330" s="416"/>
      <c r="Q330" s="416">
        <v>110332</v>
      </c>
      <c r="R330" s="416"/>
      <c r="S330" s="416">
        <v>19812</v>
      </c>
      <c r="T330" s="353">
        <f t="shared" si="77"/>
        <v>281088</v>
      </c>
      <c r="U330" s="228"/>
      <c r="V330" s="221">
        <f t="shared" si="78"/>
        <v>150944</v>
      </c>
      <c r="W330" s="388">
        <f t="shared" si="73"/>
        <v>110332</v>
      </c>
      <c r="X330" s="222">
        <f t="shared" si="79"/>
        <v>0.15543716223457188</v>
      </c>
      <c r="Y330" s="421">
        <f t="shared" si="86"/>
        <v>0.14448144353369763</v>
      </c>
      <c r="Z330" s="223">
        <f t="shared" si="80"/>
        <v>0.53699908925318762</v>
      </c>
      <c r="AA330" s="224" t="str">
        <f t="shared" si="74"/>
        <v>OR-No</v>
      </c>
      <c r="AB330" s="225" t="str">
        <f t="shared" si="81"/>
        <v>OR-Dem</v>
      </c>
      <c r="AC330" s="422" t="str">
        <f>C330&amp;"-"&amp;IF(Y330&gt;Instructions!$H$14,Instructions!$I$14,IF(Y330&gt;Instructions!$H$15,Instructions!$I$15,IF(Y330&gt;Instructions!$H$16,Instructions!$I$16,IF(Y330&gt;Instructions!$H$17,Instructions!$I$17,Instructions!$I$18))))</f>
        <v>OR-Opportunity</v>
      </c>
      <c r="AD330" s="226">
        <f t="shared" si="82"/>
        <v>0</v>
      </c>
      <c r="AE330" s="226">
        <f t="shared" si="83"/>
        <v>110332</v>
      </c>
      <c r="AF330" s="227">
        <f t="shared" si="84"/>
        <v>19812</v>
      </c>
      <c r="AG330" s="341">
        <f t="shared" si="85"/>
        <v>130144</v>
      </c>
    </row>
    <row r="331" spans="1:34">
      <c r="A331" s="352" t="s">
        <v>101</v>
      </c>
      <c r="B331" s="426">
        <v>1</v>
      </c>
      <c r="C331" s="220" t="s">
        <v>37</v>
      </c>
      <c r="D331" s="379" t="s">
        <v>655</v>
      </c>
      <c r="E331"/>
      <c r="F331"/>
      <c r="G331"/>
      <c r="H331"/>
      <c r="I331"/>
      <c r="J331" t="str">
        <f t="shared" si="75"/>
        <v>PA-Yes</v>
      </c>
      <c r="K331" t="str">
        <f t="shared" si="76"/>
        <v>PA-Yes</v>
      </c>
      <c r="L331" s="417"/>
      <c r="M331" s="417"/>
      <c r="N331" s="255">
        <v>1998</v>
      </c>
      <c r="O331" s="416">
        <v>131248</v>
      </c>
      <c r="P331" s="416"/>
      <c r="Q331" s="416">
        <v>27193</v>
      </c>
      <c r="R331" s="416"/>
      <c r="S331" s="416">
        <v>0</v>
      </c>
      <c r="T331" s="353">
        <f t="shared" si="77"/>
        <v>158441</v>
      </c>
      <c r="U331" s="228"/>
      <c r="V331" s="221">
        <f t="shared" si="78"/>
        <v>131248</v>
      </c>
      <c r="W331" s="388">
        <f t="shared" si="73"/>
        <v>27193</v>
      </c>
      <c r="X331" s="222">
        <f t="shared" si="79"/>
        <v>0.65674288852001694</v>
      </c>
      <c r="Y331" s="421">
        <f t="shared" si="86"/>
        <v>0.65674288852001683</v>
      </c>
      <c r="Z331" s="223">
        <f t="shared" si="80"/>
        <v>0.82837144426000842</v>
      </c>
      <c r="AA331" s="224" t="str">
        <f t="shared" si="74"/>
        <v>PA-No</v>
      </c>
      <c r="AB331" s="225" t="str">
        <f t="shared" si="81"/>
        <v>PA-Dem</v>
      </c>
      <c r="AC331" s="422" t="str">
        <f>C331&amp;"-"&amp;IF(Y331&gt;Instructions!$H$14,Instructions!$I$14,IF(Y331&gt;Instructions!$H$15,Instructions!$I$15,IF(Y331&gt;Instructions!$H$16,Instructions!$I$16,IF(Y331&gt;Instructions!$H$17,Instructions!$I$17,Instructions!$I$18))))</f>
        <v>PA-No contest</v>
      </c>
      <c r="AD331" s="226">
        <f t="shared" si="82"/>
        <v>0</v>
      </c>
      <c r="AE331" s="226">
        <f t="shared" si="83"/>
        <v>27193</v>
      </c>
      <c r="AF331" s="227">
        <f t="shared" si="84"/>
        <v>0</v>
      </c>
      <c r="AG331" s="341">
        <f t="shared" si="85"/>
        <v>27193</v>
      </c>
      <c r="AH331" s="413">
        <f>SUM(AG327:AG331)</f>
        <v>451952</v>
      </c>
    </row>
    <row r="332" spans="1:34">
      <c r="A332" s="352" t="s">
        <v>101</v>
      </c>
      <c r="B332" s="427">
        <v>2</v>
      </c>
      <c r="C332" s="220" t="s">
        <v>37</v>
      </c>
      <c r="D332" s="379" t="s">
        <v>656</v>
      </c>
      <c r="E332" s="379"/>
      <c r="F332" s="414" t="s">
        <v>369</v>
      </c>
      <c r="G332" s="379"/>
      <c r="H332" s="414"/>
      <c r="I332"/>
      <c r="J332" t="str">
        <f t="shared" si="75"/>
        <v>PA-Yes</v>
      </c>
      <c r="K332" t="str">
        <f t="shared" si="76"/>
        <v>PA-Yes</v>
      </c>
      <c r="L332" s="417"/>
      <c r="M332" s="417"/>
      <c r="N332" s="255">
        <v>1994</v>
      </c>
      <c r="O332" s="416">
        <v>181141</v>
      </c>
      <c r="P332" s="416"/>
      <c r="Q332" s="416">
        <v>25397</v>
      </c>
      <c r="R332" s="416"/>
      <c r="S332" s="416">
        <v>0</v>
      </c>
      <c r="T332" s="353">
        <f t="shared" si="77"/>
        <v>206538</v>
      </c>
      <c r="U332" s="228"/>
      <c r="V332" s="221">
        <f t="shared" si="78"/>
        <v>181141</v>
      </c>
      <c r="W332" s="388">
        <f t="shared" si="73"/>
        <v>25397</v>
      </c>
      <c r="X332" s="222">
        <f t="shared" si="79"/>
        <v>0.75406946905654171</v>
      </c>
      <c r="Y332" s="421">
        <f t="shared" si="86"/>
        <v>0.75406946905654171</v>
      </c>
      <c r="Z332" s="223">
        <f t="shared" si="80"/>
        <v>0.87703473452827085</v>
      </c>
      <c r="AA332" s="224" t="str">
        <f t="shared" si="74"/>
        <v>PA-No</v>
      </c>
      <c r="AB332" s="225" t="str">
        <f t="shared" si="81"/>
        <v>PA-Dem</v>
      </c>
      <c r="AC332" s="422" t="str">
        <f>C332&amp;"-"&amp;IF(Y332&gt;Instructions!$H$14,Instructions!$I$14,IF(Y332&gt;Instructions!$H$15,Instructions!$I$15,IF(Y332&gt;Instructions!$H$16,Instructions!$I$16,IF(Y332&gt;Instructions!$H$17,Instructions!$I$17,Instructions!$I$18))))</f>
        <v>PA-No contest</v>
      </c>
      <c r="AD332" s="226">
        <f t="shared" si="82"/>
        <v>0</v>
      </c>
      <c r="AE332" s="226">
        <f t="shared" si="83"/>
        <v>25397</v>
      </c>
      <c r="AF332" s="227">
        <f t="shared" si="84"/>
        <v>0</v>
      </c>
      <c r="AG332" s="341">
        <f t="shared" si="85"/>
        <v>25397</v>
      </c>
    </row>
    <row r="333" spans="1:34">
      <c r="A333" s="352" t="s">
        <v>101</v>
      </c>
      <c r="B333" s="427">
        <v>3</v>
      </c>
      <c r="C333" s="220" t="s">
        <v>37</v>
      </c>
      <c r="D333" s="379" t="s">
        <v>657</v>
      </c>
      <c r="E333"/>
      <c r="F333" s="379"/>
      <c r="G333"/>
      <c r="H333"/>
      <c r="I333"/>
      <c r="J333" t="str">
        <f t="shared" si="75"/>
        <v>PA-Yes</v>
      </c>
      <c r="K333" t="str">
        <f t="shared" si="76"/>
        <v>PA-Yes</v>
      </c>
      <c r="L333" s="415"/>
      <c r="M333" s="415"/>
      <c r="N333" s="255">
        <v>2010</v>
      </c>
      <c r="O333" s="416">
        <v>73931</v>
      </c>
      <c r="P333" s="416"/>
      <c r="Q333" s="416">
        <v>113859</v>
      </c>
      <c r="R333" s="416"/>
      <c r="S333" s="416">
        <v>0</v>
      </c>
      <c r="T333" s="353">
        <f t="shared" si="77"/>
        <v>187790</v>
      </c>
      <c r="U333" s="228"/>
      <c r="V333" s="221">
        <f t="shared" si="78"/>
        <v>113859</v>
      </c>
      <c r="W333" s="388">
        <f t="shared" si="73"/>
        <v>73931</v>
      </c>
      <c r="X333" s="222">
        <f t="shared" si="79"/>
        <v>0.2126204803237659</v>
      </c>
      <c r="Y333" s="421">
        <f t="shared" si="86"/>
        <v>0.2126204803237659</v>
      </c>
      <c r="Z333" s="223">
        <f t="shared" si="80"/>
        <v>0.60631024016188295</v>
      </c>
      <c r="AA333" s="224" t="str">
        <f t="shared" si="74"/>
        <v>PA-No</v>
      </c>
      <c r="AB333" s="225" t="str">
        <f t="shared" si="81"/>
        <v>PA-Rep</v>
      </c>
      <c r="AC333" s="422" t="str">
        <f>C333&amp;"-"&amp;IF(Y333&gt;Instructions!$H$14,Instructions!$I$14,IF(Y333&gt;Instructions!$H$15,Instructions!$I$15,IF(Y333&gt;Instructions!$H$16,Instructions!$I$16,IF(Y333&gt;Instructions!$H$17,Instructions!$I$17,Instructions!$I$18))))</f>
        <v>PA-Landslide</v>
      </c>
      <c r="AD333" s="226">
        <f t="shared" si="82"/>
        <v>73931</v>
      </c>
      <c r="AE333" s="226">
        <f t="shared" si="83"/>
        <v>0</v>
      </c>
      <c r="AF333" s="227">
        <f t="shared" si="84"/>
        <v>0</v>
      </c>
      <c r="AG333" s="341">
        <f t="shared" si="85"/>
        <v>73931</v>
      </c>
    </row>
    <row r="334" spans="1:34">
      <c r="A334" s="352" t="s">
        <v>101</v>
      </c>
      <c r="B334" s="427">
        <v>4</v>
      </c>
      <c r="C334" s="220" t="s">
        <v>37</v>
      </c>
      <c r="D334" s="379" t="s">
        <v>658</v>
      </c>
      <c r="E334"/>
      <c r="F334"/>
      <c r="G334"/>
      <c r="H334"/>
      <c r="I334"/>
      <c r="J334" t="str">
        <f t="shared" si="75"/>
        <v>PA-Yes</v>
      </c>
      <c r="K334" t="str">
        <f t="shared" si="76"/>
        <v>PA-Yes</v>
      </c>
      <c r="L334" s="415"/>
      <c r="M334" s="415"/>
      <c r="N334" s="255">
        <v>2012</v>
      </c>
      <c r="O334" s="416">
        <v>50250</v>
      </c>
      <c r="P334" s="416"/>
      <c r="Q334" s="416">
        <v>147090</v>
      </c>
      <c r="R334" s="416"/>
      <c r="S334" s="416">
        <v>0</v>
      </c>
      <c r="T334" s="353">
        <f t="shared" si="77"/>
        <v>197340</v>
      </c>
      <c r="U334" s="228"/>
      <c r="V334" s="221">
        <f t="shared" si="78"/>
        <v>147090</v>
      </c>
      <c r="W334" s="388">
        <f t="shared" si="73"/>
        <v>50250</v>
      </c>
      <c r="X334" s="222">
        <f t="shared" si="79"/>
        <v>0.4907266646397081</v>
      </c>
      <c r="Y334" s="421">
        <f t="shared" si="86"/>
        <v>0.49072666463970815</v>
      </c>
      <c r="Z334" s="223">
        <f t="shared" si="80"/>
        <v>0.74536333231985408</v>
      </c>
      <c r="AA334" s="224" t="str">
        <f t="shared" si="74"/>
        <v>PA-No</v>
      </c>
      <c r="AB334" s="225" t="str">
        <f t="shared" si="81"/>
        <v>PA-Rep</v>
      </c>
      <c r="AC334" s="422" t="str">
        <f>C334&amp;"-"&amp;IF(Y334&gt;Instructions!$H$14,Instructions!$I$14,IF(Y334&gt;Instructions!$H$15,Instructions!$I$15,IF(Y334&gt;Instructions!$H$16,Instructions!$I$16,IF(Y334&gt;Instructions!$H$17,Instructions!$I$17,Instructions!$I$18))))</f>
        <v>PA-No contest</v>
      </c>
      <c r="AD334" s="226">
        <f t="shared" si="82"/>
        <v>50250</v>
      </c>
      <c r="AE334" s="226">
        <f t="shared" si="83"/>
        <v>0</v>
      </c>
      <c r="AF334" s="227">
        <f t="shared" si="84"/>
        <v>0</v>
      </c>
      <c r="AG334" s="341">
        <f t="shared" si="85"/>
        <v>50250</v>
      </c>
    </row>
    <row r="335" spans="1:34">
      <c r="A335" s="352" t="s">
        <v>101</v>
      </c>
      <c r="B335" s="427">
        <v>5</v>
      </c>
      <c r="C335" s="220" t="s">
        <v>37</v>
      </c>
      <c r="D335" s="379" t="s">
        <v>659</v>
      </c>
      <c r="E335"/>
      <c r="F335"/>
      <c r="G335"/>
      <c r="H335"/>
      <c r="I335"/>
      <c r="J335" t="str">
        <f t="shared" si="75"/>
        <v>PA-Yes</v>
      </c>
      <c r="K335" t="str">
        <f t="shared" si="76"/>
        <v>PA-Yes</v>
      </c>
      <c r="L335" s="415"/>
      <c r="M335" s="415"/>
      <c r="N335" s="255">
        <v>2008</v>
      </c>
      <c r="O335" s="416">
        <v>65839</v>
      </c>
      <c r="P335" s="416"/>
      <c r="Q335" s="416">
        <v>115018</v>
      </c>
      <c r="R335" s="416"/>
      <c r="S335" s="416">
        <v>0</v>
      </c>
      <c r="T335" s="353">
        <f t="shared" si="77"/>
        <v>180857</v>
      </c>
      <c r="U335" s="228"/>
      <c r="V335" s="221">
        <f t="shared" si="78"/>
        <v>115018</v>
      </c>
      <c r="W335" s="388">
        <f t="shared" si="73"/>
        <v>65839</v>
      </c>
      <c r="X335" s="222">
        <f t="shared" si="79"/>
        <v>0.27192201573618935</v>
      </c>
      <c r="Y335" s="421">
        <f t="shared" si="86"/>
        <v>0.2719220157361894</v>
      </c>
      <c r="Z335" s="223">
        <f t="shared" si="80"/>
        <v>0.63596100786809473</v>
      </c>
      <c r="AA335" s="224" t="str">
        <f t="shared" si="74"/>
        <v>PA-No</v>
      </c>
      <c r="AB335" s="225" t="str">
        <f t="shared" si="81"/>
        <v>PA-Rep</v>
      </c>
      <c r="AC335" s="422" t="str">
        <f>C335&amp;"-"&amp;IF(Y335&gt;Instructions!$H$14,Instructions!$I$14,IF(Y335&gt;Instructions!$H$15,Instructions!$I$15,IF(Y335&gt;Instructions!$H$16,Instructions!$I$16,IF(Y335&gt;Instructions!$H$17,Instructions!$I$17,Instructions!$I$18))))</f>
        <v>PA-Landslide</v>
      </c>
      <c r="AD335" s="226">
        <f t="shared" si="82"/>
        <v>65839</v>
      </c>
      <c r="AE335" s="226">
        <f t="shared" si="83"/>
        <v>0</v>
      </c>
      <c r="AF335" s="227">
        <f t="shared" si="84"/>
        <v>0</v>
      </c>
      <c r="AG335" s="341">
        <f t="shared" si="85"/>
        <v>65839</v>
      </c>
      <c r="AH335" s="380"/>
    </row>
    <row r="336" spans="1:34">
      <c r="A336" s="352" t="s">
        <v>101</v>
      </c>
      <c r="B336" s="427">
        <v>6</v>
      </c>
      <c r="C336" s="220" t="s">
        <v>37</v>
      </c>
      <c r="D336" s="379" t="s">
        <v>814</v>
      </c>
      <c r="E336"/>
      <c r="F336"/>
      <c r="G336"/>
      <c r="H336"/>
      <c r="I336"/>
      <c r="J336" t="str">
        <f t="shared" si="75"/>
        <v>PA-No</v>
      </c>
      <c r="K336" t="str">
        <f t="shared" si="76"/>
        <v>PA-No</v>
      </c>
      <c r="L336" s="415">
        <v>0</v>
      </c>
      <c r="M336" s="415"/>
      <c r="N336" s="255">
        <v>2014</v>
      </c>
      <c r="O336" s="416">
        <v>92901</v>
      </c>
      <c r="P336" s="416"/>
      <c r="Q336" s="416">
        <v>119643</v>
      </c>
      <c r="R336" s="416"/>
      <c r="S336" s="416">
        <v>0</v>
      </c>
      <c r="T336" s="353">
        <f t="shared" si="77"/>
        <v>212544</v>
      </c>
      <c r="U336" s="228"/>
      <c r="V336" s="221">
        <f t="shared" si="78"/>
        <v>119643</v>
      </c>
      <c r="W336" s="388">
        <f t="shared" si="73"/>
        <v>92901</v>
      </c>
      <c r="X336" s="222">
        <f t="shared" si="79"/>
        <v>0.12581865401987352</v>
      </c>
      <c r="Y336" s="421">
        <f t="shared" si="86"/>
        <v>0.12581865401987358</v>
      </c>
      <c r="Z336" s="223">
        <f t="shared" si="80"/>
        <v>0.56290932700993679</v>
      </c>
      <c r="AA336" s="224" t="str">
        <f t="shared" si="74"/>
        <v>PA-No</v>
      </c>
      <c r="AB336" s="225" t="str">
        <f t="shared" si="81"/>
        <v>PA-Rep</v>
      </c>
      <c r="AC336" s="422" t="str">
        <f>C336&amp;"-"&amp;IF(Y336&gt;Instructions!$H$14,Instructions!$I$14,IF(Y336&gt;Instructions!$H$15,Instructions!$I$15,IF(Y336&gt;Instructions!$H$16,Instructions!$I$16,IF(Y336&gt;Instructions!$H$17,Instructions!$I$17,Instructions!$I$18))))</f>
        <v>PA-Opportunity</v>
      </c>
      <c r="AD336" s="226">
        <f t="shared" si="82"/>
        <v>92901</v>
      </c>
      <c r="AE336" s="226">
        <f t="shared" si="83"/>
        <v>0</v>
      </c>
      <c r="AF336" s="227">
        <f t="shared" si="84"/>
        <v>0</v>
      </c>
      <c r="AG336" s="341">
        <f t="shared" si="85"/>
        <v>92901</v>
      </c>
      <c r="AH336" s="413">
        <f>SUM(AG332:AG336)</f>
        <v>308318</v>
      </c>
    </row>
    <row r="337" spans="1:34">
      <c r="A337" s="352" t="s">
        <v>101</v>
      </c>
      <c r="B337" s="427">
        <v>7</v>
      </c>
      <c r="C337" s="220" t="s">
        <v>37</v>
      </c>
      <c r="D337" s="379" t="s">
        <v>660</v>
      </c>
      <c r="E337"/>
      <c r="F337"/>
      <c r="G337"/>
      <c r="H337"/>
      <c r="I337"/>
      <c r="J337" t="str">
        <f t="shared" si="75"/>
        <v>PA-Yes</v>
      </c>
      <c r="K337" t="str">
        <f t="shared" si="76"/>
        <v>PA-Yes</v>
      </c>
      <c r="L337" s="415"/>
      <c r="M337" s="415"/>
      <c r="N337" s="255">
        <v>2010</v>
      </c>
      <c r="O337" s="416">
        <v>89256</v>
      </c>
      <c r="P337" s="416"/>
      <c r="Q337" s="416">
        <v>145869</v>
      </c>
      <c r="R337" s="416"/>
      <c r="S337" s="416">
        <v>0</v>
      </c>
      <c r="T337" s="353">
        <f t="shared" si="77"/>
        <v>235125</v>
      </c>
      <c r="U337" s="228"/>
      <c r="V337" s="221">
        <f t="shared" si="78"/>
        <v>145869</v>
      </c>
      <c r="W337" s="388">
        <f t="shared" si="73"/>
        <v>89256</v>
      </c>
      <c r="X337" s="222">
        <f t="shared" si="79"/>
        <v>0.24077830940988837</v>
      </c>
      <c r="Y337" s="421">
        <f t="shared" si="86"/>
        <v>0.24077830940988831</v>
      </c>
      <c r="Z337" s="223">
        <f t="shared" si="80"/>
        <v>0.62038915470494416</v>
      </c>
      <c r="AA337" s="224" t="str">
        <f t="shared" si="74"/>
        <v>PA-No</v>
      </c>
      <c r="AB337" s="225" t="str">
        <f t="shared" si="81"/>
        <v>PA-Rep</v>
      </c>
      <c r="AC337" s="422" t="str">
        <f>C337&amp;"-"&amp;IF(Y337&gt;Instructions!$H$14,Instructions!$I$14,IF(Y337&gt;Instructions!$H$15,Instructions!$I$15,IF(Y337&gt;Instructions!$H$16,Instructions!$I$16,IF(Y337&gt;Instructions!$H$17,Instructions!$I$17,Instructions!$I$18))))</f>
        <v>PA-Landslide</v>
      </c>
      <c r="AD337" s="226">
        <f t="shared" si="82"/>
        <v>89256</v>
      </c>
      <c r="AE337" s="226">
        <f t="shared" si="83"/>
        <v>0</v>
      </c>
      <c r="AF337" s="227">
        <f t="shared" si="84"/>
        <v>0</v>
      </c>
      <c r="AG337" s="341">
        <f t="shared" si="85"/>
        <v>89256</v>
      </c>
    </row>
    <row r="338" spans="1:34">
      <c r="A338" s="352" t="s">
        <v>101</v>
      </c>
      <c r="B338" s="427">
        <v>8</v>
      </c>
      <c r="C338" s="220" t="s">
        <v>37</v>
      </c>
      <c r="D338" s="379" t="s">
        <v>661</v>
      </c>
      <c r="E338"/>
      <c r="F338" s="381"/>
      <c r="G338" s="379"/>
      <c r="H338"/>
      <c r="I338"/>
      <c r="J338" t="str">
        <f t="shared" si="75"/>
        <v>PA-Yes</v>
      </c>
      <c r="K338" t="str">
        <f t="shared" si="76"/>
        <v>PA-Yes</v>
      </c>
      <c r="L338" s="415"/>
      <c r="M338" s="415"/>
      <c r="N338" s="255">
        <v>2010</v>
      </c>
      <c r="O338" s="416">
        <v>84767</v>
      </c>
      <c r="P338" s="416"/>
      <c r="Q338" s="416">
        <v>137731</v>
      </c>
      <c r="R338" s="416"/>
      <c r="S338" s="416">
        <v>0</v>
      </c>
      <c r="T338" s="353">
        <f t="shared" si="77"/>
        <v>222498</v>
      </c>
      <c r="U338" s="228"/>
      <c r="V338" s="221">
        <f t="shared" si="78"/>
        <v>137731</v>
      </c>
      <c r="W338" s="388">
        <f t="shared" si="73"/>
        <v>84767</v>
      </c>
      <c r="X338" s="222">
        <f t="shared" si="79"/>
        <v>0.23804258914686874</v>
      </c>
      <c r="Y338" s="421">
        <f t="shared" si="86"/>
        <v>0.23804258914686871</v>
      </c>
      <c r="Z338" s="223">
        <f t="shared" si="80"/>
        <v>0.61902129457343436</v>
      </c>
      <c r="AA338" s="224" t="str">
        <f t="shared" si="74"/>
        <v>PA-No</v>
      </c>
      <c r="AB338" s="225" t="str">
        <f t="shared" si="81"/>
        <v>PA-Rep</v>
      </c>
      <c r="AC338" s="422" t="str">
        <f>C338&amp;"-"&amp;IF(Y338&gt;Instructions!$H$14,Instructions!$I$14,IF(Y338&gt;Instructions!$H$15,Instructions!$I$15,IF(Y338&gt;Instructions!$H$16,Instructions!$I$16,IF(Y338&gt;Instructions!$H$17,Instructions!$I$17,Instructions!$I$18))))</f>
        <v>PA-Landslide</v>
      </c>
      <c r="AD338" s="226">
        <f t="shared" si="82"/>
        <v>84767</v>
      </c>
      <c r="AE338" s="226">
        <f t="shared" si="83"/>
        <v>0</v>
      </c>
      <c r="AF338" s="227">
        <f t="shared" si="84"/>
        <v>0</v>
      </c>
      <c r="AG338" s="341">
        <f t="shared" si="85"/>
        <v>84767</v>
      </c>
    </row>
    <row r="339" spans="1:34">
      <c r="A339" s="352" t="s">
        <v>101</v>
      </c>
      <c r="B339" s="427">
        <v>9</v>
      </c>
      <c r="C339" s="220" t="s">
        <v>37</v>
      </c>
      <c r="D339" s="379" t="s">
        <v>662</v>
      </c>
      <c r="E339"/>
      <c r="F339"/>
      <c r="G339" s="379"/>
      <c r="H339"/>
      <c r="I339"/>
      <c r="J339" t="str">
        <f t="shared" si="75"/>
        <v>PA-Yes</v>
      </c>
      <c r="K339" t="str">
        <f t="shared" si="76"/>
        <v>PA-Yes</v>
      </c>
      <c r="L339" s="415"/>
      <c r="M339" s="415"/>
      <c r="N339" s="255">
        <v>2001</v>
      </c>
      <c r="O339" s="416">
        <v>63223</v>
      </c>
      <c r="P339" s="416"/>
      <c r="Q339" s="416">
        <v>110094</v>
      </c>
      <c r="R339" s="416"/>
      <c r="S339" s="416">
        <v>0</v>
      </c>
      <c r="T339" s="353">
        <f t="shared" si="77"/>
        <v>173317</v>
      </c>
      <c r="U339" s="228"/>
      <c r="V339" s="221">
        <f t="shared" si="78"/>
        <v>110094</v>
      </c>
      <c r="W339" s="388">
        <f t="shared" si="73"/>
        <v>63223</v>
      </c>
      <c r="X339" s="222">
        <f t="shared" si="79"/>
        <v>0.27043509869199212</v>
      </c>
      <c r="Y339" s="421">
        <f t="shared" si="86"/>
        <v>0.27043509869199212</v>
      </c>
      <c r="Z339" s="223">
        <f t="shared" si="80"/>
        <v>0.63521754934599606</v>
      </c>
      <c r="AA339" s="224" t="str">
        <f t="shared" si="74"/>
        <v>PA-No</v>
      </c>
      <c r="AB339" s="225" t="str">
        <f t="shared" si="81"/>
        <v>PA-Rep</v>
      </c>
      <c r="AC339" s="422" t="str">
        <f>C339&amp;"-"&amp;IF(Y339&gt;Instructions!$H$14,Instructions!$I$14,IF(Y339&gt;Instructions!$H$15,Instructions!$I$15,IF(Y339&gt;Instructions!$H$16,Instructions!$I$16,IF(Y339&gt;Instructions!$H$17,Instructions!$I$17,Instructions!$I$18))))</f>
        <v>PA-Landslide</v>
      </c>
      <c r="AD339" s="226">
        <f t="shared" si="82"/>
        <v>63223</v>
      </c>
      <c r="AE339" s="226">
        <f t="shared" si="83"/>
        <v>0</v>
      </c>
      <c r="AF339" s="227">
        <f t="shared" si="84"/>
        <v>0</v>
      </c>
      <c r="AG339" s="341">
        <f t="shared" si="85"/>
        <v>63223</v>
      </c>
    </row>
    <row r="340" spans="1:34">
      <c r="A340" s="352" t="s">
        <v>101</v>
      </c>
      <c r="B340" s="427">
        <v>10</v>
      </c>
      <c r="C340" s="220" t="s">
        <v>37</v>
      </c>
      <c r="D340" s="379" t="s">
        <v>663</v>
      </c>
      <c r="E340"/>
      <c r="F340"/>
      <c r="G340"/>
      <c r="H340"/>
      <c r="I340"/>
      <c r="J340" t="str">
        <f t="shared" si="75"/>
        <v>PA-Yes</v>
      </c>
      <c r="K340" t="str">
        <f t="shared" si="76"/>
        <v>PA-Yes</v>
      </c>
      <c r="L340" s="415"/>
      <c r="M340" s="415"/>
      <c r="N340" s="255">
        <v>2010</v>
      </c>
      <c r="O340" s="416">
        <v>44737</v>
      </c>
      <c r="P340" s="416"/>
      <c r="Q340" s="416">
        <v>112851</v>
      </c>
      <c r="R340" s="416"/>
      <c r="S340" s="416">
        <v>22734</v>
      </c>
      <c r="T340" s="353">
        <f t="shared" si="77"/>
        <v>180322</v>
      </c>
      <c r="U340" s="228"/>
      <c r="V340" s="221">
        <f t="shared" si="78"/>
        <v>112851</v>
      </c>
      <c r="W340" s="388">
        <f t="shared" si="73"/>
        <v>44737</v>
      </c>
      <c r="X340" s="222">
        <f t="shared" si="79"/>
        <v>0.43222834225956291</v>
      </c>
      <c r="Y340" s="421">
        <f t="shared" si="86"/>
        <v>0.37773538447887667</v>
      </c>
      <c r="Z340" s="223">
        <f t="shared" si="80"/>
        <v>0.62583045884584243</v>
      </c>
      <c r="AA340" s="224" t="str">
        <f t="shared" si="74"/>
        <v>PA-No</v>
      </c>
      <c r="AB340" s="225" t="str">
        <f t="shared" si="81"/>
        <v>PA-Rep</v>
      </c>
      <c r="AC340" s="422" t="str">
        <f>C340&amp;"-"&amp;IF(Y340&gt;Instructions!$H$14,Instructions!$I$14,IF(Y340&gt;Instructions!$H$15,Instructions!$I$15,IF(Y340&gt;Instructions!$H$16,Instructions!$I$16,IF(Y340&gt;Instructions!$H$17,Instructions!$I$17,Instructions!$I$18))))</f>
        <v>PA-Landslide</v>
      </c>
      <c r="AD340" s="226">
        <f t="shared" si="82"/>
        <v>44737</v>
      </c>
      <c r="AE340" s="226">
        <f t="shared" si="83"/>
        <v>0</v>
      </c>
      <c r="AF340" s="227">
        <f t="shared" si="84"/>
        <v>22734</v>
      </c>
      <c r="AG340" s="341">
        <f t="shared" si="85"/>
        <v>67471</v>
      </c>
    </row>
    <row r="341" spans="1:34">
      <c r="A341" s="352" t="s">
        <v>101</v>
      </c>
      <c r="B341" s="427">
        <v>11</v>
      </c>
      <c r="C341" s="220" t="s">
        <v>37</v>
      </c>
      <c r="D341" s="379" t="s">
        <v>664</v>
      </c>
      <c r="E341"/>
      <c r="F341"/>
      <c r="G341"/>
      <c r="H341"/>
      <c r="I341"/>
      <c r="J341" t="str">
        <f t="shared" si="75"/>
        <v>PA-Yes</v>
      </c>
      <c r="K341" t="str">
        <f t="shared" si="76"/>
        <v>PA-Yes</v>
      </c>
      <c r="L341" s="415"/>
      <c r="M341" s="415"/>
      <c r="N341" s="255">
        <v>2010</v>
      </c>
      <c r="O341" s="416">
        <v>62228</v>
      </c>
      <c r="P341" s="416"/>
      <c r="Q341" s="416">
        <v>122464</v>
      </c>
      <c r="R341" s="416"/>
      <c r="S341" s="416">
        <v>0</v>
      </c>
      <c r="T341" s="353">
        <f t="shared" si="77"/>
        <v>184692</v>
      </c>
      <c r="U341" s="228"/>
      <c r="V341" s="221">
        <f t="shared" si="78"/>
        <v>122464</v>
      </c>
      <c r="W341" s="388">
        <f t="shared" si="73"/>
        <v>62228</v>
      </c>
      <c r="X341" s="222">
        <f t="shared" si="79"/>
        <v>0.32614298399497543</v>
      </c>
      <c r="Y341" s="421">
        <f t="shared" si="86"/>
        <v>0.32614298399497543</v>
      </c>
      <c r="Z341" s="223">
        <f t="shared" si="80"/>
        <v>0.66307149199748772</v>
      </c>
      <c r="AA341" s="224" t="str">
        <f t="shared" si="74"/>
        <v>PA-No</v>
      </c>
      <c r="AB341" s="225" t="str">
        <f t="shared" si="81"/>
        <v>PA-Rep</v>
      </c>
      <c r="AC341" s="422" t="str">
        <f>C341&amp;"-"&amp;IF(Y341&gt;Instructions!$H$14,Instructions!$I$14,IF(Y341&gt;Instructions!$H$15,Instructions!$I$15,IF(Y341&gt;Instructions!$H$16,Instructions!$I$16,IF(Y341&gt;Instructions!$H$17,Instructions!$I$17,Instructions!$I$18))))</f>
        <v>PA-Landslide</v>
      </c>
      <c r="AD341" s="226">
        <f t="shared" si="82"/>
        <v>62228</v>
      </c>
      <c r="AE341" s="226">
        <f t="shared" si="83"/>
        <v>0</v>
      </c>
      <c r="AF341" s="227">
        <f t="shared" si="84"/>
        <v>0</v>
      </c>
      <c r="AG341" s="341">
        <f t="shared" si="85"/>
        <v>62228</v>
      </c>
    </row>
    <row r="342" spans="1:34">
      <c r="A342" s="352" t="s">
        <v>101</v>
      </c>
      <c r="B342" s="427">
        <v>12</v>
      </c>
      <c r="C342" s="220" t="s">
        <v>37</v>
      </c>
      <c r="D342" s="379" t="s">
        <v>665</v>
      </c>
      <c r="E342"/>
      <c r="F342"/>
      <c r="G342"/>
      <c r="H342"/>
      <c r="I342"/>
      <c r="J342" t="str">
        <f t="shared" si="75"/>
        <v>PA-Yes</v>
      </c>
      <c r="K342" t="str">
        <f t="shared" si="76"/>
        <v>PA-Yes</v>
      </c>
      <c r="L342" s="352"/>
      <c r="M342" s="352"/>
      <c r="N342" s="255">
        <v>2012</v>
      </c>
      <c r="O342" s="416">
        <v>87928</v>
      </c>
      <c r="P342" s="416"/>
      <c r="Q342" s="416">
        <v>127993</v>
      </c>
      <c r="R342" s="416"/>
      <c r="S342" s="416">
        <v>0</v>
      </c>
      <c r="T342" s="353">
        <f t="shared" si="77"/>
        <v>215921</v>
      </c>
      <c r="U342" s="228"/>
      <c r="V342" s="221">
        <f t="shared" si="78"/>
        <v>127993</v>
      </c>
      <c r="W342" s="388">
        <f t="shared" si="73"/>
        <v>87928</v>
      </c>
      <c r="X342" s="222">
        <f t="shared" si="79"/>
        <v>0.18555397575965282</v>
      </c>
      <c r="Y342" s="421">
        <f t="shared" si="86"/>
        <v>0.18555397575965288</v>
      </c>
      <c r="Z342" s="223">
        <f t="shared" si="80"/>
        <v>0.59277698787982647</v>
      </c>
      <c r="AA342" s="224" t="str">
        <f t="shared" si="74"/>
        <v>PA-No</v>
      </c>
      <c r="AB342" s="225" t="str">
        <f t="shared" si="81"/>
        <v>PA-Rep</v>
      </c>
      <c r="AC342" s="422" t="str">
        <f>C342&amp;"-"&amp;IF(Y342&gt;Instructions!$H$14,Instructions!$I$14,IF(Y342&gt;Instructions!$H$15,Instructions!$I$15,IF(Y342&gt;Instructions!$H$16,Instructions!$I$16,IF(Y342&gt;Instructions!$H$17,Instructions!$I$17,Instructions!$I$18))))</f>
        <v>PA-Opportunity</v>
      </c>
      <c r="AD342" s="226">
        <f t="shared" si="82"/>
        <v>87928</v>
      </c>
      <c r="AE342" s="226">
        <f t="shared" si="83"/>
        <v>0</v>
      </c>
      <c r="AF342" s="227">
        <f t="shared" si="84"/>
        <v>0</v>
      </c>
      <c r="AG342" s="341">
        <f t="shared" si="85"/>
        <v>87928</v>
      </c>
      <c r="AH342" s="380"/>
    </row>
    <row r="343" spans="1:34">
      <c r="A343" s="352" t="s">
        <v>101</v>
      </c>
      <c r="B343" s="427">
        <v>13</v>
      </c>
      <c r="C343" s="220" t="s">
        <v>37</v>
      </c>
      <c r="D343" s="379" t="s">
        <v>815</v>
      </c>
      <c r="E343" s="414"/>
      <c r="F343" s="379"/>
      <c r="G343"/>
      <c r="H343"/>
      <c r="I343"/>
      <c r="J343" t="str">
        <f t="shared" si="75"/>
        <v>PA-No</v>
      </c>
      <c r="K343" t="str">
        <f t="shared" si="76"/>
        <v>PA-No</v>
      </c>
      <c r="L343" s="415">
        <v>0</v>
      </c>
      <c r="M343" s="417"/>
      <c r="N343" s="255">
        <v>2014</v>
      </c>
      <c r="O343" s="416">
        <v>123601</v>
      </c>
      <c r="P343" s="416"/>
      <c r="Q343" s="416">
        <v>60549</v>
      </c>
      <c r="R343" s="416"/>
      <c r="S343" s="416">
        <v>0</v>
      </c>
      <c r="T343" s="353">
        <f t="shared" si="77"/>
        <v>184150</v>
      </c>
      <c r="U343" s="228"/>
      <c r="V343" s="221">
        <f t="shared" si="78"/>
        <v>123601</v>
      </c>
      <c r="W343" s="388">
        <f t="shared" si="73"/>
        <v>60549</v>
      </c>
      <c r="X343" s="222">
        <f t="shared" si="79"/>
        <v>0.34239478685853925</v>
      </c>
      <c r="Y343" s="421">
        <f t="shared" si="86"/>
        <v>0.34239478685853925</v>
      </c>
      <c r="Z343" s="223">
        <f t="shared" si="80"/>
        <v>0.67119739342926965</v>
      </c>
      <c r="AA343" s="224" t="str">
        <f t="shared" si="74"/>
        <v>PA-No</v>
      </c>
      <c r="AB343" s="225" t="str">
        <f t="shared" si="81"/>
        <v>PA-Dem</v>
      </c>
      <c r="AC343" s="422" t="str">
        <f>C343&amp;"-"&amp;IF(Y343&gt;Instructions!$H$14,Instructions!$I$14,IF(Y343&gt;Instructions!$H$15,Instructions!$I$15,IF(Y343&gt;Instructions!$H$16,Instructions!$I$16,IF(Y343&gt;Instructions!$H$17,Instructions!$I$17,Instructions!$I$18))))</f>
        <v>PA-Landslide</v>
      </c>
      <c r="AD343" s="226">
        <f t="shared" si="82"/>
        <v>0</v>
      </c>
      <c r="AE343" s="226">
        <f t="shared" si="83"/>
        <v>60549</v>
      </c>
      <c r="AF343" s="227">
        <f t="shared" si="84"/>
        <v>0</v>
      </c>
      <c r="AG343" s="341">
        <f t="shared" si="85"/>
        <v>60549</v>
      </c>
    </row>
    <row r="344" spans="1:34">
      <c r="A344" s="352" t="s">
        <v>101</v>
      </c>
      <c r="B344" s="427">
        <v>14</v>
      </c>
      <c r="C344" s="220" t="s">
        <v>37</v>
      </c>
      <c r="D344" s="379" t="s">
        <v>666</v>
      </c>
      <c r="E344"/>
      <c r="F344"/>
      <c r="G344"/>
      <c r="H344"/>
      <c r="I344"/>
      <c r="J344" t="str">
        <f t="shared" si="75"/>
        <v>PA-Yes</v>
      </c>
      <c r="K344" t="str">
        <f t="shared" si="76"/>
        <v>PA-Yes</v>
      </c>
      <c r="L344" s="417"/>
      <c r="M344" s="417"/>
      <c r="N344" s="255">
        <v>1994</v>
      </c>
      <c r="O344" s="416">
        <v>148351</v>
      </c>
      <c r="P344" s="416"/>
      <c r="Q344" s="416">
        <v>0</v>
      </c>
      <c r="R344" s="416"/>
      <c r="S344" s="416">
        <v>0</v>
      </c>
      <c r="T344" s="353">
        <f t="shared" si="77"/>
        <v>148351</v>
      </c>
      <c r="U344" s="228"/>
      <c r="V344" s="221">
        <f t="shared" si="78"/>
        <v>148351</v>
      </c>
      <c r="W344" s="388">
        <f t="shared" si="73"/>
        <v>0</v>
      </c>
      <c r="X344" s="222">
        <f t="shared" si="79"/>
        <v>1</v>
      </c>
      <c r="Y344" s="421">
        <f t="shared" si="86"/>
        <v>1</v>
      </c>
      <c r="Z344" s="223">
        <f t="shared" si="80"/>
        <v>1</v>
      </c>
      <c r="AA344" s="224" t="str">
        <f t="shared" si="74"/>
        <v>PA-Yes</v>
      </c>
      <c r="AB344" s="225" t="str">
        <f t="shared" si="81"/>
        <v>PA-Dem</v>
      </c>
      <c r="AC344" s="422" t="str">
        <f>C344&amp;"-"&amp;IF(Y344&gt;Instructions!$H$14,Instructions!$I$14,IF(Y344&gt;Instructions!$H$15,Instructions!$I$15,IF(Y344&gt;Instructions!$H$16,Instructions!$I$16,IF(Y344&gt;Instructions!$H$17,Instructions!$I$17,Instructions!$I$18))))</f>
        <v>PA-No contest</v>
      </c>
      <c r="AD344" s="226">
        <f t="shared" si="82"/>
        <v>0</v>
      </c>
      <c r="AE344" s="226">
        <f t="shared" si="83"/>
        <v>0</v>
      </c>
      <c r="AF344" s="227">
        <f t="shared" si="84"/>
        <v>0</v>
      </c>
      <c r="AG344" s="341">
        <f t="shared" si="85"/>
        <v>0</v>
      </c>
    </row>
    <row r="345" spans="1:34">
      <c r="A345" s="352" t="s">
        <v>101</v>
      </c>
      <c r="B345" s="427">
        <v>15</v>
      </c>
      <c r="C345" s="220" t="s">
        <v>37</v>
      </c>
      <c r="D345" s="379" t="s">
        <v>667</v>
      </c>
      <c r="E345"/>
      <c r="F345"/>
      <c r="G345"/>
      <c r="H345"/>
      <c r="I345"/>
      <c r="J345" t="str">
        <f t="shared" si="75"/>
        <v>PA-Yes</v>
      </c>
      <c r="K345" t="str">
        <f t="shared" si="76"/>
        <v>PA-Yes</v>
      </c>
      <c r="L345" s="352"/>
      <c r="M345" s="352"/>
      <c r="N345" s="255">
        <v>2004</v>
      </c>
      <c r="O345" s="416">
        <v>0</v>
      </c>
      <c r="P345" s="416"/>
      <c r="Q345" s="416">
        <v>128285</v>
      </c>
      <c r="R345" s="416"/>
      <c r="S345" s="416">
        <v>0</v>
      </c>
      <c r="T345" s="353">
        <f t="shared" si="77"/>
        <v>128285</v>
      </c>
      <c r="U345" s="228"/>
      <c r="V345" s="221">
        <f t="shared" si="78"/>
        <v>128285</v>
      </c>
      <c r="W345" s="388">
        <f t="shared" si="73"/>
        <v>0</v>
      </c>
      <c r="X345" s="222">
        <f t="shared" si="79"/>
        <v>1</v>
      </c>
      <c r="Y345" s="421">
        <f t="shared" si="86"/>
        <v>1</v>
      </c>
      <c r="Z345" s="223">
        <f t="shared" si="80"/>
        <v>1</v>
      </c>
      <c r="AA345" s="224" t="str">
        <f t="shared" si="74"/>
        <v>PA-Yes</v>
      </c>
      <c r="AB345" s="225" t="str">
        <f t="shared" si="81"/>
        <v>PA-Rep</v>
      </c>
      <c r="AC345" s="422" t="str">
        <f>C345&amp;"-"&amp;IF(Y345&gt;Instructions!$H$14,Instructions!$I$14,IF(Y345&gt;Instructions!$H$15,Instructions!$I$15,IF(Y345&gt;Instructions!$H$16,Instructions!$I$16,IF(Y345&gt;Instructions!$H$17,Instructions!$I$17,Instructions!$I$18))))</f>
        <v>PA-No contest</v>
      </c>
      <c r="AD345" s="226">
        <f t="shared" si="82"/>
        <v>0</v>
      </c>
      <c r="AE345" s="226">
        <f t="shared" si="83"/>
        <v>0</v>
      </c>
      <c r="AF345" s="227">
        <f t="shared" si="84"/>
        <v>0</v>
      </c>
      <c r="AG345" s="341">
        <f t="shared" si="85"/>
        <v>0</v>
      </c>
    </row>
    <row r="346" spans="1:34">
      <c r="A346" s="352" t="s">
        <v>101</v>
      </c>
      <c r="B346" s="427">
        <v>16</v>
      </c>
      <c r="C346" s="220" t="s">
        <v>37</v>
      </c>
      <c r="D346" s="379" t="s">
        <v>668</v>
      </c>
      <c r="E346" s="379"/>
      <c r="F346"/>
      <c r="G346"/>
      <c r="H346"/>
      <c r="I346"/>
      <c r="J346" t="str">
        <f t="shared" si="75"/>
        <v>PA-Yes</v>
      </c>
      <c r="K346" t="str">
        <f t="shared" si="76"/>
        <v>PA-Yes</v>
      </c>
      <c r="L346" s="415"/>
      <c r="M346" s="415"/>
      <c r="N346" s="255">
        <v>1996</v>
      </c>
      <c r="O346" s="416">
        <v>74513</v>
      </c>
      <c r="P346" s="416"/>
      <c r="Q346" s="416">
        <v>101722</v>
      </c>
      <c r="R346" s="416"/>
      <c r="S346" s="416">
        <v>0</v>
      </c>
      <c r="T346" s="353">
        <f t="shared" si="77"/>
        <v>176235</v>
      </c>
      <c r="U346" s="228"/>
      <c r="V346" s="221">
        <f t="shared" si="78"/>
        <v>101722</v>
      </c>
      <c r="W346" s="388">
        <f t="shared" si="73"/>
        <v>74513</v>
      </c>
      <c r="X346" s="222">
        <f t="shared" si="79"/>
        <v>0.15439044457684342</v>
      </c>
      <c r="Y346" s="421">
        <f t="shared" si="86"/>
        <v>0.15439044457684337</v>
      </c>
      <c r="Z346" s="223">
        <f t="shared" si="80"/>
        <v>0.57719522228842168</v>
      </c>
      <c r="AA346" s="224" t="str">
        <f t="shared" si="74"/>
        <v>PA-No</v>
      </c>
      <c r="AB346" s="225" t="str">
        <f t="shared" si="81"/>
        <v>PA-Rep</v>
      </c>
      <c r="AC346" s="422" t="str">
        <f>C346&amp;"-"&amp;IF(Y346&gt;Instructions!$H$14,Instructions!$I$14,IF(Y346&gt;Instructions!$H$15,Instructions!$I$15,IF(Y346&gt;Instructions!$H$16,Instructions!$I$16,IF(Y346&gt;Instructions!$H$17,Instructions!$I$17,Instructions!$I$18))))</f>
        <v>PA-Opportunity</v>
      </c>
      <c r="AD346" s="226">
        <f t="shared" si="82"/>
        <v>74513</v>
      </c>
      <c r="AE346" s="226">
        <f t="shared" si="83"/>
        <v>0</v>
      </c>
      <c r="AF346" s="227">
        <f t="shared" si="84"/>
        <v>0</v>
      </c>
      <c r="AG346" s="341">
        <f t="shared" si="85"/>
        <v>74513</v>
      </c>
    </row>
    <row r="347" spans="1:34">
      <c r="A347" s="352" t="s">
        <v>101</v>
      </c>
      <c r="B347" s="427">
        <v>17</v>
      </c>
      <c r="C347" s="220" t="s">
        <v>37</v>
      </c>
      <c r="D347" s="379" t="s">
        <v>669</v>
      </c>
      <c r="E347"/>
      <c r="F347"/>
      <c r="G347"/>
      <c r="H347"/>
      <c r="I347"/>
      <c r="J347" t="str">
        <f t="shared" si="75"/>
        <v>PA-Yes</v>
      </c>
      <c r="K347" t="str">
        <f t="shared" si="76"/>
        <v>PA-Yes</v>
      </c>
      <c r="L347" s="354"/>
      <c r="M347" s="354"/>
      <c r="N347" s="255">
        <v>2012</v>
      </c>
      <c r="O347" s="416">
        <v>93680</v>
      </c>
      <c r="P347" s="416"/>
      <c r="Q347" s="416">
        <v>71371</v>
      </c>
      <c r="R347" s="416"/>
      <c r="S347" s="416">
        <v>0</v>
      </c>
      <c r="T347" s="353">
        <f t="shared" si="77"/>
        <v>165051</v>
      </c>
      <c r="U347" s="228"/>
      <c r="V347" s="221">
        <f t="shared" si="78"/>
        <v>93680</v>
      </c>
      <c r="W347" s="388">
        <f t="shared" si="73"/>
        <v>71371</v>
      </c>
      <c r="X347" s="222">
        <f t="shared" si="79"/>
        <v>0.13516428255508903</v>
      </c>
      <c r="Y347" s="421">
        <f t="shared" si="86"/>
        <v>0.135164282555089</v>
      </c>
      <c r="Z347" s="223">
        <f t="shared" si="80"/>
        <v>0.56758214127754447</v>
      </c>
      <c r="AA347" s="224" t="str">
        <f t="shared" si="74"/>
        <v>PA-No</v>
      </c>
      <c r="AB347" s="225" t="str">
        <f t="shared" si="81"/>
        <v>PA-Dem</v>
      </c>
      <c r="AC347" s="422" t="str">
        <f>C347&amp;"-"&amp;IF(Y347&gt;Instructions!$H$14,Instructions!$I$14,IF(Y347&gt;Instructions!$H$15,Instructions!$I$15,IF(Y347&gt;Instructions!$H$16,Instructions!$I$16,IF(Y347&gt;Instructions!$H$17,Instructions!$I$17,Instructions!$I$18))))</f>
        <v>PA-Opportunity</v>
      </c>
      <c r="AD347" s="226">
        <f t="shared" si="82"/>
        <v>0</v>
      </c>
      <c r="AE347" s="226">
        <f t="shared" si="83"/>
        <v>71371</v>
      </c>
      <c r="AF347" s="227">
        <f t="shared" si="84"/>
        <v>0</v>
      </c>
      <c r="AG347" s="341">
        <f t="shared" si="85"/>
        <v>71371</v>
      </c>
    </row>
    <row r="348" spans="1:34">
      <c r="A348" s="352" t="s">
        <v>101</v>
      </c>
      <c r="B348" s="427">
        <v>18</v>
      </c>
      <c r="C348" s="220" t="s">
        <v>37</v>
      </c>
      <c r="D348" s="379" t="s">
        <v>670</v>
      </c>
      <c r="E348"/>
      <c r="F348"/>
      <c r="G348"/>
      <c r="H348"/>
      <c r="I348"/>
      <c r="J348" t="str">
        <f t="shared" si="75"/>
        <v>PA-Yes</v>
      </c>
      <c r="K348" t="str">
        <f t="shared" si="76"/>
        <v>PA-Yes</v>
      </c>
      <c r="L348" s="415"/>
      <c r="M348" s="415"/>
      <c r="N348" s="255">
        <v>2002</v>
      </c>
      <c r="O348" s="416">
        <v>0</v>
      </c>
      <c r="P348" s="416"/>
      <c r="Q348" s="416">
        <v>166076</v>
      </c>
      <c r="R348" s="416"/>
      <c r="S348" s="416">
        <v>0</v>
      </c>
      <c r="T348" s="353">
        <f t="shared" si="77"/>
        <v>166076</v>
      </c>
      <c r="U348" s="228"/>
      <c r="V348" s="221">
        <f t="shared" si="78"/>
        <v>166076</v>
      </c>
      <c r="W348" s="388">
        <f t="shared" si="73"/>
        <v>0</v>
      </c>
      <c r="X348" s="222">
        <f t="shared" si="79"/>
        <v>1</v>
      </c>
      <c r="Y348" s="421">
        <f t="shared" si="86"/>
        <v>1</v>
      </c>
      <c r="Z348" s="223">
        <f t="shared" si="80"/>
        <v>1</v>
      </c>
      <c r="AA348" s="224" t="str">
        <f t="shared" si="74"/>
        <v>PA-Yes</v>
      </c>
      <c r="AB348" s="225" t="str">
        <f t="shared" si="81"/>
        <v>PA-Rep</v>
      </c>
      <c r="AC348" s="422" t="str">
        <f>C348&amp;"-"&amp;IF(Y348&gt;Instructions!$H$14,Instructions!$I$14,IF(Y348&gt;Instructions!$H$15,Instructions!$I$15,IF(Y348&gt;Instructions!$H$16,Instructions!$I$16,IF(Y348&gt;Instructions!$H$17,Instructions!$I$17,Instructions!$I$18))))</f>
        <v>PA-No contest</v>
      </c>
      <c r="AD348" s="226">
        <f t="shared" si="82"/>
        <v>0</v>
      </c>
      <c r="AE348" s="226">
        <f t="shared" si="83"/>
        <v>0</v>
      </c>
      <c r="AF348" s="227">
        <f t="shared" si="84"/>
        <v>0</v>
      </c>
      <c r="AG348" s="341">
        <f t="shared" si="85"/>
        <v>0</v>
      </c>
    </row>
    <row r="349" spans="1:34">
      <c r="A349" s="352" t="s">
        <v>102</v>
      </c>
      <c r="B349" s="427">
        <v>1</v>
      </c>
      <c r="C349" s="220" t="s">
        <v>38</v>
      </c>
      <c r="D349" s="379" t="s">
        <v>671</v>
      </c>
      <c r="E349" s="414"/>
      <c r="F349"/>
      <c r="G349"/>
      <c r="H349"/>
      <c r="I349"/>
      <c r="J349" t="str">
        <f t="shared" si="75"/>
        <v>RI-Yes</v>
      </c>
      <c r="K349" t="str">
        <f t="shared" si="76"/>
        <v>RI-Yes</v>
      </c>
      <c r="L349" s="417"/>
      <c r="M349" s="417"/>
      <c r="N349" s="255">
        <v>2010</v>
      </c>
      <c r="O349" s="416">
        <v>87060</v>
      </c>
      <c r="P349" s="416"/>
      <c r="Q349" s="416">
        <v>58877</v>
      </c>
      <c r="R349" s="416"/>
      <c r="S349" s="416">
        <v>416</v>
      </c>
      <c r="T349" s="353">
        <f t="shared" si="77"/>
        <v>146353</v>
      </c>
      <c r="U349" s="228"/>
      <c r="V349" s="221">
        <f t="shared" si="78"/>
        <v>87060</v>
      </c>
      <c r="W349" s="388">
        <f t="shared" ref="W349:W412" si="87">LARGE(O349:S349, 2)</f>
        <v>58877</v>
      </c>
      <c r="X349" s="222">
        <f t="shared" si="79"/>
        <v>0.19311757813303002</v>
      </c>
      <c r="Y349" s="421">
        <f t="shared" si="86"/>
        <v>0.1925686525045609</v>
      </c>
      <c r="Z349" s="223">
        <f t="shared" si="80"/>
        <v>0.5948631049585591</v>
      </c>
      <c r="AA349" s="224" t="str">
        <f t="shared" si="74"/>
        <v>RI-No</v>
      </c>
      <c r="AB349" s="225" t="str">
        <f t="shared" si="81"/>
        <v>RI-Dem</v>
      </c>
      <c r="AC349" s="422" t="str">
        <f>C349&amp;"-"&amp;IF(Y349&gt;Instructions!$H$14,Instructions!$I$14,IF(Y349&gt;Instructions!$H$15,Instructions!$I$15,IF(Y349&gt;Instructions!$H$16,Instructions!$I$16,IF(Y349&gt;Instructions!$H$17,Instructions!$I$17,Instructions!$I$18))))</f>
        <v>RI-Opportunity</v>
      </c>
      <c r="AD349" s="226">
        <f t="shared" si="82"/>
        <v>0</v>
      </c>
      <c r="AE349" s="226">
        <f t="shared" si="83"/>
        <v>58877</v>
      </c>
      <c r="AF349" s="227">
        <f t="shared" si="84"/>
        <v>416</v>
      </c>
      <c r="AG349" s="341">
        <f t="shared" si="85"/>
        <v>59293</v>
      </c>
    </row>
    <row r="350" spans="1:34">
      <c r="A350" s="352" t="s">
        <v>102</v>
      </c>
      <c r="B350" s="427">
        <v>2</v>
      </c>
      <c r="C350" s="220" t="s">
        <v>38</v>
      </c>
      <c r="D350" s="379" t="s">
        <v>672</v>
      </c>
      <c r="E350"/>
      <c r="F350"/>
      <c r="G350"/>
      <c r="H350"/>
      <c r="I350"/>
      <c r="J350" t="str">
        <f t="shared" si="75"/>
        <v>RI-Yes</v>
      </c>
      <c r="K350" t="str">
        <f t="shared" si="76"/>
        <v>RI-Yes</v>
      </c>
      <c r="L350" s="417"/>
      <c r="M350" s="417"/>
      <c r="N350" s="255">
        <v>2000</v>
      </c>
      <c r="O350" s="416">
        <v>105716</v>
      </c>
      <c r="P350" s="416"/>
      <c r="Q350" s="416">
        <v>63844</v>
      </c>
      <c r="R350" s="416"/>
      <c r="S350" s="416">
        <v>344</v>
      </c>
      <c r="T350" s="353">
        <f t="shared" si="77"/>
        <v>169904</v>
      </c>
      <c r="U350" s="228"/>
      <c r="V350" s="221">
        <f t="shared" si="78"/>
        <v>105716</v>
      </c>
      <c r="W350" s="388">
        <f t="shared" si="87"/>
        <v>63844</v>
      </c>
      <c r="X350" s="222">
        <f t="shared" si="79"/>
        <v>0.24694503420618069</v>
      </c>
      <c r="Y350" s="421">
        <f t="shared" si="86"/>
        <v>0.24644505132310013</v>
      </c>
      <c r="Z350" s="223">
        <f t="shared" si="80"/>
        <v>0.62221018928336003</v>
      </c>
      <c r="AA350" s="224" t="str">
        <f t="shared" si="74"/>
        <v>RI-No</v>
      </c>
      <c r="AB350" s="225" t="str">
        <f t="shared" si="81"/>
        <v>RI-Dem</v>
      </c>
      <c r="AC350" s="422" t="str">
        <f>C350&amp;"-"&amp;IF(Y350&gt;Instructions!$H$14,Instructions!$I$14,IF(Y350&gt;Instructions!$H$15,Instructions!$I$15,IF(Y350&gt;Instructions!$H$16,Instructions!$I$16,IF(Y350&gt;Instructions!$H$17,Instructions!$I$17,Instructions!$I$18))))</f>
        <v>RI-Landslide</v>
      </c>
      <c r="AD350" s="226">
        <f t="shared" si="82"/>
        <v>0</v>
      </c>
      <c r="AE350" s="226">
        <f t="shared" si="83"/>
        <v>63844</v>
      </c>
      <c r="AF350" s="227">
        <f t="shared" si="84"/>
        <v>344</v>
      </c>
      <c r="AG350" s="341">
        <f t="shared" si="85"/>
        <v>64188</v>
      </c>
    </row>
    <row r="351" spans="1:34">
      <c r="A351" s="352" t="s">
        <v>103</v>
      </c>
      <c r="B351" s="427">
        <v>1</v>
      </c>
      <c r="C351" s="220" t="s">
        <v>39</v>
      </c>
      <c r="D351" s="379" t="s">
        <v>816</v>
      </c>
      <c r="E351"/>
      <c r="F351"/>
      <c r="G351"/>
      <c r="H351"/>
      <c r="I351"/>
      <c r="J351" t="str">
        <f t="shared" si="75"/>
        <v>SC-Yes</v>
      </c>
      <c r="K351" t="str">
        <f t="shared" si="76"/>
        <v>SC-Yes</v>
      </c>
      <c r="L351" s="415"/>
      <c r="M351" s="415"/>
      <c r="N351" s="255">
        <v>2013</v>
      </c>
      <c r="O351" s="416">
        <v>0</v>
      </c>
      <c r="P351" s="416"/>
      <c r="Q351" s="416">
        <v>119392</v>
      </c>
      <c r="R351" s="416"/>
      <c r="S351" s="416">
        <v>8423</v>
      </c>
      <c r="T351" s="353">
        <f t="shared" si="77"/>
        <v>127815</v>
      </c>
      <c r="U351" s="228"/>
      <c r="V351" s="221">
        <f t="shared" si="78"/>
        <v>119392</v>
      </c>
      <c r="W351" s="388">
        <f t="shared" si="87"/>
        <v>8423</v>
      </c>
      <c r="X351" s="222">
        <f t="shared" si="79"/>
        <v>1</v>
      </c>
      <c r="Y351" s="421">
        <f t="shared" si="86"/>
        <v>0.86820013300473331</v>
      </c>
      <c r="Z351" s="223">
        <f t="shared" si="80"/>
        <v>0.93410006650236665</v>
      </c>
      <c r="AA351" s="224" t="str">
        <f t="shared" si="74"/>
        <v>SC-Yes</v>
      </c>
      <c r="AB351" s="225" t="str">
        <f t="shared" si="81"/>
        <v>SC-Rep</v>
      </c>
      <c r="AC351" s="422" t="str">
        <f>C351&amp;"-"&amp;IF(Y351&gt;Instructions!$H$14,Instructions!$I$14,IF(Y351&gt;Instructions!$H$15,Instructions!$I$15,IF(Y351&gt;Instructions!$H$16,Instructions!$I$16,IF(Y351&gt;Instructions!$H$17,Instructions!$I$17,Instructions!$I$18))))</f>
        <v>SC-No contest</v>
      </c>
      <c r="AD351" s="226">
        <f t="shared" si="82"/>
        <v>0</v>
      </c>
      <c r="AE351" s="226">
        <f t="shared" si="83"/>
        <v>0</v>
      </c>
      <c r="AF351" s="227">
        <f t="shared" si="84"/>
        <v>8423</v>
      </c>
      <c r="AG351" s="341">
        <f t="shared" si="85"/>
        <v>8423</v>
      </c>
    </row>
    <row r="352" spans="1:34">
      <c r="A352" s="352" t="s">
        <v>103</v>
      </c>
      <c r="B352" s="427">
        <v>2</v>
      </c>
      <c r="C352" s="220" t="s">
        <v>39</v>
      </c>
      <c r="D352" s="379" t="s">
        <v>673</v>
      </c>
      <c r="E352"/>
      <c r="F352"/>
      <c r="G352" s="379"/>
      <c r="H352"/>
      <c r="I352"/>
      <c r="J352" t="str">
        <f t="shared" si="75"/>
        <v>SC-Yes</v>
      </c>
      <c r="K352" t="str">
        <f t="shared" si="76"/>
        <v>SC-Yes</v>
      </c>
      <c r="L352" s="415"/>
      <c r="M352" s="415"/>
      <c r="N352" s="255">
        <v>2001</v>
      </c>
      <c r="O352" s="416">
        <v>68719</v>
      </c>
      <c r="P352" s="416"/>
      <c r="Q352" s="416">
        <v>121649</v>
      </c>
      <c r="R352" s="416"/>
      <c r="S352" s="416">
        <v>4440</v>
      </c>
      <c r="T352" s="353">
        <f t="shared" si="77"/>
        <v>194808</v>
      </c>
      <c r="U352" s="228"/>
      <c r="V352" s="221">
        <f t="shared" si="78"/>
        <v>121649</v>
      </c>
      <c r="W352" s="388">
        <f t="shared" si="87"/>
        <v>68719</v>
      </c>
      <c r="X352" s="222">
        <f t="shared" si="79"/>
        <v>0.27804042696251469</v>
      </c>
      <c r="Y352" s="421">
        <f t="shared" si="86"/>
        <v>0.27170342080407378</v>
      </c>
      <c r="Z352" s="223">
        <f t="shared" si="80"/>
        <v>0.62445587450207385</v>
      </c>
      <c r="AA352" s="224" t="str">
        <f t="shared" si="74"/>
        <v>SC-No</v>
      </c>
      <c r="AB352" s="225" t="str">
        <f t="shared" si="81"/>
        <v>SC-Rep</v>
      </c>
      <c r="AC352" s="422" t="str">
        <f>C352&amp;"-"&amp;IF(Y352&gt;Instructions!$H$14,Instructions!$I$14,IF(Y352&gt;Instructions!$H$15,Instructions!$I$15,IF(Y352&gt;Instructions!$H$16,Instructions!$I$16,IF(Y352&gt;Instructions!$H$17,Instructions!$I$17,Instructions!$I$18))))</f>
        <v>SC-Landslide</v>
      </c>
      <c r="AD352" s="226">
        <f t="shared" si="82"/>
        <v>68719</v>
      </c>
      <c r="AE352" s="226">
        <f t="shared" si="83"/>
        <v>0</v>
      </c>
      <c r="AF352" s="227">
        <f t="shared" si="84"/>
        <v>4440</v>
      </c>
      <c r="AG352" s="341">
        <f t="shared" si="85"/>
        <v>73159</v>
      </c>
      <c r="AH352" s="380"/>
    </row>
    <row r="353" spans="1:34">
      <c r="A353" s="352" t="s">
        <v>103</v>
      </c>
      <c r="B353" s="427">
        <v>3</v>
      </c>
      <c r="C353" s="220" t="s">
        <v>39</v>
      </c>
      <c r="D353" s="379" t="s">
        <v>674</v>
      </c>
      <c r="E353" s="379"/>
      <c r="F353" s="379"/>
      <c r="G353"/>
      <c r="H353"/>
      <c r="I353"/>
      <c r="J353" t="str">
        <f t="shared" si="75"/>
        <v>SC-Yes</v>
      </c>
      <c r="K353" t="str">
        <f t="shared" si="76"/>
        <v>SC-Yes</v>
      </c>
      <c r="L353" s="415"/>
      <c r="M353" s="415"/>
      <c r="N353" s="255">
        <v>2010</v>
      </c>
      <c r="O353" s="416">
        <v>47181</v>
      </c>
      <c r="P353" s="416"/>
      <c r="Q353" s="416">
        <v>116741</v>
      </c>
      <c r="R353" s="416"/>
      <c r="S353" s="416">
        <v>87</v>
      </c>
      <c r="T353" s="353">
        <f t="shared" si="77"/>
        <v>164009</v>
      </c>
      <c r="U353" s="228"/>
      <c r="V353" s="221">
        <f t="shared" si="78"/>
        <v>116741</v>
      </c>
      <c r="W353" s="388">
        <f t="shared" si="87"/>
        <v>47181</v>
      </c>
      <c r="X353" s="222">
        <f t="shared" si="79"/>
        <v>0.42434816559095179</v>
      </c>
      <c r="Y353" s="421">
        <f t="shared" si="86"/>
        <v>0.42412306641708691</v>
      </c>
      <c r="Z353" s="223">
        <f t="shared" si="80"/>
        <v>0.71179630386137349</v>
      </c>
      <c r="AA353" s="224" t="str">
        <f t="shared" si="74"/>
        <v>SC-No</v>
      </c>
      <c r="AB353" s="225" t="str">
        <f t="shared" si="81"/>
        <v>SC-Rep</v>
      </c>
      <c r="AC353" s="422" t="str">
        <f>C353&amp;"-"&amp;IF(Y353&gt;Instructions!$H$14,Instructions!$I$14,IF(Y353&gt;Instructions!$H$15,Instructions!$I$15,IF(Y353&gt;Instructions!$H$16,Instructions!$I$16,IF(Y353&gt;Instructions!$H$17,Instructions!$I$17,Instructions!$I$18))))</f>
        <v>SC-No contest</v>
      </c>
      <c r="AD353" s="226">
        <f t="shared" si="82"/>
        <v>47181</v>
      </c>
      <c r="AE353" s="226">
        <f t="shared" si="83"/>
        <v>0</v>
      </c>
      <c r="AF353" s="227">
        <f t="shared" si="84"/>
        <v>87</v>
      </c>
      <c r="AG353" s="341">
        <f t="shared" si="85"/>
        <v>47268</v>
      </c>
    </row>
    <row r="354" spans="1:34">
      <c r="A354" s="352" t="s">
        <v>103</v>
      </c>
      <c r="B354" s="427">
        <v>4</v>
      </c>
      <c r="C354" s="220" t="s">
        <v>39</v>
      </c>
      <c r="D354" s="379" t="s">
        <v>675</v>
      </c>
      <c r="E354"/>
      <c r="F354"/>
      <c r="G354"/>
      <c r="H354"/>
      <c r="I354"/>
      <c r="J354" t="str">
        <f t="shared" si="75"/>
        <v>SC-Yes</v>
      </c>
      <c r="K354" t="str">
        <f t="shared" si="76"/>
        <v>SC-Yes</v>
      </c>
      <c r="L354" s="415"/>
      <c r="M354" s="415"/>
      <c r="N354" s="255">
        <v>2010</v>
      </c>
      <c r="O354" s="416">
        <v>0</v>
      </c>
      <c r="P354" s="416"/>
      <c r="Q354" s="416">
        <v>126452</v>
      </c>
      <c r="R354" s="416"/>
      <c r="S354" s="416">
        <v>22597</v>
      </c>
      <c r="T354" s="353">
        <f t="shared" si="77"/>
        <v>149049</v>
      </c>
      <c r="U354" s="228"/>
      <c r="V354" s="221">
        <f t="shared" si="78"/>
        <v>126452</v>
      </c>
      <c r="W354" s="388">
        <f t="shared" si="87"/>
        <v>22597</v>
      </c>
      <c r="X354" s="222">
        <f t="shared" si="79"/>
        <v>1</v>
      </c>
      <c r="Y354" s="421">
        <f t="shared" si="86"/>
        <v>0.69678427899549811</v>
      </c>
      <c r="Z354" s="223">
        <f t="shared" si="80"/>
        <v>0.84839213949774905</v>
      </c>
      <c r="AA354" s="224" t="str">
        <f t="shared" si="74"/>
        <v>SC-Yes</v>
      </c>
      <c r="AB354" s="225" t="str">
        <f t="shared" si="81"/>
        <v>SC-Rep</v>
      </c>
      <c r="AC354" s="422" t="str">
        <f>C354&amp;"-"&amp;IF(Y354&gt;Instructions!$H$14,Instructions!$I$14,IF(Y354&gt;Instructions!$H$15,Instructions!$I$15,IF(Y354&gt;Instructions!$H$16,Instructions!$I$16,IF(Y354&gt;Instructions!$H$17,Instructions!$I$17,Instructions!$I$18))))</f>
        <v>SC-No contest</v>
      </c>
      <c r="AD354" s="226">
        <f t="shared" si="82"/>
        <v>0</v>
      </c>
      <c r="AE354" s="226">
        <f t="shared" si="83"/>
        <v>0</v>
      </c>
      <c r="AF354" s="227">
        <f t="shared" si="84"/>
        <v>22597</v>
      </c>
      <c r="AG354" s="341">
        <f t="shared" si="85"/>
        <v>22597</v>
      </c>
      <c r="AH354" s="380"/>
    </row>
    <row r="355" spans="1:34">
      <c r="A355" s="352" t="s">
        <v>103</v>
      </c>
      <c r="B355" s="427">
        <v>5</v>
      </c>
      <c r="C355" s="220" t="s">
        <v>39</v>
      </c>
      <c r="D355" s="379" t="s">
        <v>676</v>
      </c>
      <c r="E355"/>
      <c r="F355"/>
      <c r="G355" s="379"/>
      <c r="H355"/>
      <c r="I355"/>
      <c r="J355" t="str">
        <f t="shared" si="75"/>
        <v>SC-Yes</v>
      </c>
      <c r="K355" t="str">
        <f t="shared" si="76"/>
        <v>SC-Yes</v>
      </c>
      <c r="L355" s="352"/>
      <c r="M355" s="352"/>
      <c r="N355" s="255">
        <v>2010</v>
      </c>
      <c r="O355" s="416">
        <v>71985</v>
      </c>
      <c r="P355" s="416"/>
      <c r="Q355" s="416">
        <v>103078</v>
      </c>
      <c r="R355" s="416"/>
      <c r="S355" s="416">
        <v>82</v>
      </c>
      <c r="T355" s="353">
        <f t="shared" si="77"/>
        <v>175145</v>
      </c>
      <c r="U355" s="228"/>
      <c r="V355" s="221">
        <f t="shared" si="78"/>
        <v>103078</v>
      </c>
      <c r="W355" s="388">
        <f t="shared" si="87"/>
        <v>71985</v>
      </c>
      <c r="X355" s="222">
        <f t="shared" si="79"/>
        <v>0.17761034598972941</v>
      </c>
      <c r="Y355" s="421">
        <f t="shared" si="86"/>
        <v>0.17752719175540271</v>
      </c>
      <c r="Z355" s="223">
        <f t="shared" si="80"/>
        <v>0.58852950412515348</v>
      </c>
      <c r="AA355" s="224" t="str">
        <f t="shared" si="74"/>
        <v>SC-No</v>
      </c>
      <c r="AB355" s="225" t="str">
        <f t="shared" si="81"/>
        <v>SC-Rep</v>
      </c>
      <c r="AC355" s="422" t="str">
        <f>C355&amp;"-"&amp;IF(Y355&gt;Instructions!$H$14,Instructions!$I$14,IF(Y355&gt;Instructions!$H$15,Instructions!$I$15,IF(Y355&gt;Instructions!$H$16,Instructions!$I$16,IF(Y355&gt;Instructions!$H$17,Instructions!$I$17,Instructions!$I$18))))</f>
        <v>SC-Opportunity</v>
      </c>
      <c r="AD355" s="226">
        <f t="shared" si="82"/>
        <v>71985</v>
      </c>
      <c r="AE355" s="226">
        <f t="shared" si="83"/>
        <v>0</v>
      </c>
      <c r="AF355" s="227">
        <f t="shared" si="84"/>
        <v>82</v>
      </c>
      <c r="AG355" s="341">
        <f t="shared" si="85"/>
        <v>72067</v>
      </c>
      <c r="AH355" s="413">
        <f>SUM(AG337:AG355)</f>
        <v>1008301</v>
      </c>
    </row>
    <row r="356" spans="1:34">
      <c r="A356" s="352" t="s">
        <v>103</v>
      </c>
      <c r="B356" s="427">
        <v>6</v>
      </c>
      <c r="C356" s="220" t="s">
        <v>39</v>
      </c>
      <c r="D356" s="379" t="s">
        <v>677</v>
      </c>
      <c r="E356"/>
      <c r="F356" s="414" t="s">
        <v>370</v>
      </c>
      <c r="G356"/>
      <c r="H356"/>
      <c r="I356"/>
      <c r="J356" t="str">
        <f t="shared" si="75"/>
        <v>SC-Yes</v>
      </c>
      <c r="K356" t="str">
        <f t="shared" si="76"/>
        <v>SC-Yes</v>
      </c>
      <c r="L356" s="354"/>
      <c r="M356" s="354"/>
      <c r="N356" s="255">
        <v>1992</v>
      </c>
      <c r="O356" s="416">
        <v>125747</v>
      </c>
      <c r="P356" s="416"/>
      <c r="Q356" s="416">
        <v>44311</v>
      </c>
      <c r="R356" s="416"/>
      <c r="S356" s="416">
        <v>3374</v>
      </c>
      <c r="T356" s="353">
        <f t="shared" si="77"/>
        <v>173432</v>
      </c>
      <c r="U356" s="228"/>
      <c r="V356" s="221">
        <f t="shared" si="78"/>
        <v>125747</v>
      </c>
      <c r="W356" s="388">
        <f t="shared" si="87"/>
        <v>44311</v>
      </c>
      <c r="X356" s="222">
        <f t="shared" si="79"/>
        <v>0.47887191428806641</v>
      </c>
      <c r="Y356" s="421">
        <f t="shared" si="86"/>
        <v>0.46955579131878777</v>
      </c>
      <c r="Z356" s="223">
        <f t="shared" si="80"/>
        <v>0.72505074034780204</v>
      </c>
      <c r="AA356" s="224" t="str">
        <f t="shared" si="74"/>
        <v>SC-No</v>
      </c>
      <c r="AB356" s="225" t="str">
        <f t="shared" si="81"/>
        <v>SC-Dem</v>
      </c>
      <c r="AC356" s="422" t="str">
        <f>C356&amp;"-"&amp;IF(Y356&gt;Instructions!$H$14,Instructions!$I$14,IF(Y356&gt;Instructions!$H$15,Instructions!$I$15,IF(Y356&gt;Instructions!$H$16,Instructions!$I$16,IF(Y356&gt;Instructions!$H$17,Instructions!$I$17,Instructions!$I$18))))</f>
        <v>SC-No contest</v>
      </c>
      <c r="AD356" s="226">
        <f t="shared" si="82"/>
        <v>0</v>
      </c>
      <c r="AE356" s="226">
        <f t="shared" si="83"/>
        <v>44311</v>
      </c>
      <c r="AF356" s="227">
        <f t="shared" si="84"/>
        <v>3374</v>
      </c>
      <c r="AG356" s="341">
        <f t="shared" si="85"/>
        <v>47685</v>
      </c>
    </row>
    <row r="357" spans="1:34">
      <c r="A357" s="352" t="s">
        <v>103</v>
      </c>
      <c r="B357" s="427">
        <v>7</v>
      </c>
      <c r="C357" s="220" t="s">
        <v>39</v>
      </c>
      <c r="D357" s="379" t="s">
        <v>678</v>
      </c>
      <c r="E357"/>
      <c r="F357"/>
      <c r="G357"/>
      <c r="H357"/>
      <c r="I357"/>
      <c r="J357" t="str">
        <f t="shared" si="75"/>
        <v>SC-Yes</v>
      </c>
      <c r="K357" t="str">
        <f t="shared" si="76"/>
        <v>SC-Yes</v>
      </c>
      <c r="L357" s="415"/>
      <c r="M357" s="415"/>
      <c r="N357" s="255">
        <v>2012</v>
      </c>
      <c r="O357" s="416">
        <v>68576</v>
      </c>
      <c r="P357" s="416"/>
      <c r="Q357" s="416">
        <v>102833</v>
      </c>
      <c r="R357" s="416"/>
      <c r="S357" s="416">
        <v>115</v>
      </c>
      <c r="T357" s="353">
        <f t="shared" si="77"/>
        <v>171524</v>
      </c>
      <c r="U357" s="228"/>
      <c r="V357" s="221">
        <f t="shared" si="78"/>
        <v>102833</v>
      </c>
      <c r="W357" s="388">
        <f t="shared" si="87"/>
        <v>68576</v>
      </c>
      <c r="X357" s="222">
        <f t="shared" si="79"/>
        <v>0.19985531681533641</v>
      </c>
      <c r="Y357" s="421">
        <f t="shared" si="86"/>
        <v>0.19972132179753266</v>
      </c>
      <c r="Z357" s="223">
        <f t="shared" si="80"/>
        <v>0.59952543084349708</v>
      </c>
      <c r="AA357" s="224" t="str">
        <f t="shared" si="74"/>
        <v>SC-No</v>
      </c>
      <c r="AB357" s="225" t="str">
        <f t="shared" si="81"/>
        <v>SC-Rep</v>
      </c>
      <c r="AC357" s="422" t="str">
        <f>C357&amp;"-"&amp;IF(Y357&gt;Instructions!$H$14,Instructions!$I$14,IF(Y357&gt;Instructions!$H$15,Instructions!$I$15,IF(Y357&gt;Instructions!$H$16,Instructions!$I$16,IF(Y357&gt;Instructions!$H$17,Instructions!$I$17,Instructions!$I$18))))</f>
        <v>SC-Opportunity</v>
      </c>
      <c r="AD357" s="226">
        <f t="shared" si="82"/>
        <v>68576</v>
      </c>
      <c r="AE357" s="226">
        <f t="shared" si="83"/>
        <v>0</v>
      </c>
      <c r="AF357" s="227">
        <f t="shared" si="84"/>
        <v>115</v>
      </c>
      <c r="AG357" s="341">
        <f t="shared" si="85"/>
        <v>68691</v>
      </c>
      <c r="AH357" s="413">
        <f>SUM(AG356:AG357)</f>
        <v>116376</v>
      </c>
    </row>
    <row r="358" spans="1:34">
      <c r="A358" s="352" t="s">
        <v>104</v>
      </c>
      <c r="B358" s="426" t="s">
        <v>0</v>
      </c>
      <c r="C358" s="220" t="s">
        <v>40</v>
      </c>
      <c r="D358" s="379" t="s">
        <v>679</v>
      </c>
      <c r="E358" s="414" t="s">
        <v>371</v>
      </c>
      <c r="F358" s="381"/>
      <c r="G358"/>
      <c r="H358"/>
      <c r="I358"/>
      <c r="J358" t="str">
        <f t="shared" si="75"/>
        <v>SD-Yes</v>
      </c>
      <c r="K358" t="str">
        <f t="shared" si="76"/>
        <v>SD-Yes</v>
      </c>
      <c r="L358" s="415"/>
      <c r="M358" s="415"/>
      <c r="N358" s="255">
        <v>2010</v>
      </c>
      <c r="O358" s="416">
        <v>92485</v>
      </c>
      <c r="P358" s="416"/>
      <c r="Q358" s="416">
        <v>183834</v>
      </c>
      <c r="R358" s="416"/>
      <c r="S358" s="416">
        <v>0</v>
      </c>
      <c r="T358" s="353">
        <f t="shared" si="77"/>
        <v>276319</v>
      </c>
      <c r="U358" s="228"/>
      <c r="V358" s="221">
        <f t="shared" si="78"/>
        <v>183834</v>
      </c>
      <c r="W358" s="388">
        <f t="shared" si="87"/>
        <v>92485</v>
      </c>
      <c r="X358" s="222">
        <f t="shared" si="79"/>
        <v>0.33059253978191872</v>
      </c>
      <c r="Y358" s="421">
        <f t="shared" si="86"/>
        <v>0.33059253978191872</v>
      </c>
      <c r="Z358" s="223">
        <f t="shared" si="80"/>
        <v>0.66529626989095936</v>
      </c>
      <c r="AA358" s="224" t="str">
        <f t="shared" si="74"/>
        <v>SD-No</v>
      </c>
      <c r="AB358" s="225" t="str">
        <f t="shared" si="81"/>
        <v>SD-Rep</v>
      </c>
      <c r="AC358" s="422" t="str">
        <f>C358&amp;"-"&amp;IF(Y358&gt;Instructions!$H$14,Instructions!$I$14,IF(Y358&gt;Instructions!$H$15,Instructions!$I$15,IF(Y358&gt;Instructions!$H$16,Instructions!$I$16,IF(Y358&gt;Instructions!$H$17,Instructions!$I$17,Instructions!$I$18))))</f>
        <v>SD-Landslide</v>
      </c>
      <c r="AD358" s="226">
        <f t="shared" si="82"/>
        <v>92485</v>
      </c>
      <c r="AE358" s="226">
        <f t="shared" si="83"/>
        <v>0</v>
      </c>
      <c r="AF358" s="227">
        <f t="shared" si="84"/>
        <v>0</v>
      </c>
      <c r="AG358" s="341">
        <f t="shared" si="85"/>
        <v>92485</v>
      </c>
    </row>
    <row r="359" spans="1:34">
      <c r="A359" s="352" t="s">
        <v>105</v>
      </c>
      <c r="B359" s="427">
        <v>1</v>
      </c>
      <c r="C359" s="220" t="s">
        <v>41</v>
      </c>
      <c r="D359" s="379" t="s">
        <v>680</v>
      </c>
      <c r="E359"/>
      <c r="F359"/>
      <c r="G359" s="379"/>
      <c r="H359"/>
      <c r="I359"/>
      <c r="J359" t="str">
        <f t="shared" si="75"/>
        <v>TN-Yes</v>
      </c>
      <c r="K359" t="str">
        <f t="shared" si="76"/>
        <v>TN-Yes</v>
      </c>
      <c r="L359" s="415"/>
      <c r="M359" s="415"/>
      <c r="N359" s="255">
        <v>2008</v>
      </c>
      <c r="O359" s="416">
        <v>0</v>
      </c>
      <c r="P359" s="416"/>
      <c r="Q359" s="416">
        <v>115533</v>
      </c>
      <c r="R359" s="416"/>
      <c r="S359" s="416">
        <v>23937</v>
      </c>
      <c r="T359" s="353">
        <f t="shared" si="77"/>
        <v>139470</v>
      </c>
      <c r="U359" s="228"/>
      <c r="V359" s="221">
        <f t="shared" si="78"/>
        <v>115533</v>
      </c>
      <c r="W359" s="388">
        <v>9892</v>
      </c>
      <c r="X359" s="222">
        <f t="shared" si="79"/>
        <v>1</v>
      </c>
      <c r="Y359" s="421">
        <f t="shared" si="86"/>
        <v>0.75744604574460461</v>
      </c>
      <c r="Z359" s="223">
        <f t="shared" si="80"/>
        <v>0.82837169283716927</v>
      </c>
      <c r="AA359" s="224" t="str">
        <f t="shared" si="74"/>
        <v>TN-Yes</v>
      </c>
      <c r="AB359" s="225" t="str">
        <f t="shared" si="81"/>
        <v>TN-Rep</v>
      </c>
      <c r="AC359" s="422" t="str">
        <f>C359&amp;"-"&amp;IF(Y359&gt;Instructions!$H$14,Instructions!$I$14,IF(Y359&gt;Instructions!$H$15,Instructions!$I$15,IF(Y359&gt;Instructions!$H$16,Instructions!$I$16,IF(Y359&gt;Instructions!$H$17,Instructions!$I$17,Instructions!$I$18))))</f>
        <v>TN-No contest</v>
      </c>
      <c r="AD359" s="226">
        <f t="shared" si="82"/>
        <v>0</v>
      </c>
      <c r="AE359" s="226">
        <f t="shared" si="83"/>
        <v>0</v>
      </c>
      <c r="AF359" s="227">
        <f t="shared" si="84"/>
        <v>23937</v>
      </c>
      <c r="AG359" s="341">
        <f t="shared" si="85"/>
        <v>23937</v>
      </c>
    </row>
    <row r="360" spans="1:34">
      <c r="A360" s="352" t="s">
        <v>105</v>
      </c>
      <c r="B360" s="427">
        <v>2</v>
      </c>
      <c r="C360" s="220" t="s">
        <v>41</v>
      </c>
      <c r="D360" s="379" t="s">
        <v>681</v>
      </c>
      <c r="E360"/>
      <c r="F360"/>
      <c r="G360"/>
      <c r="H360"/>
      <c r="I360"/>
      <c r="J360" t="str">
        <f t="shared" si="75"/>
        <v>TN-Yes</v>
      </c>
      <c r="K360" t="str">
        <f t="shared" si="76"/>
        <v>TN-Yes</v>
      </c>
      <c r="L360" s="415"/>
      <c r="M360" s="415"/>
      <c r="N360" s="255">
        <v>1988</v>
      </c>
      <c r="O360" s="416">
        <v>37612</v>
      </c>
      <c r="P360" s="416"/>
      <c r="Q360" s="416">
        <v>120883</v>
      </c>
      <c r="R360" s="416"/>
      <c r="S360" s="416">
        <v>8256</v>
      </c>
      <c r="T360" s="353">
        <f t="shared" si="77"/>
        <v>166751</v>
      </c>
      <c r="U360" s="228"/>
      <c r="V360" s="221">
        <f t="shared" si="78"/>
        <v>120883</v>
      </c>
      <c r="W360" s="388">
        <f t="shared" si="87"/>
        <v>37612</v>
      </c>
      <c r="X360" s="222">
        <f t="shared" si="79"/>
        <v>0.52538565885359156</v>
      </c>
      <c r="Y360" s="421">
        <f t="shared" si="86"/>
        <v>0.49937331710154659</v>
      </c>
      <c r="Z360" s="223">
        <f t="shared" si="80"/>
        <v>0.7249311848204808</v>
      </c>
      <c r="AA360" s="224" t="str">
        <f t="shared" si="74"/>
        <v>TN-No</v>
      </c>
      <c r="AB360" s="225" t="str">
        <f t="shared" si="81"/>
        <v>TN-Rep</v>
      </c>
      <c r="AC360" s="422" t="str">
        <f>C360&amp;"-"&amp;IF(Y360&gt;Instructions!$H$14,Instructions!$I$14,IF(Y360&gt;Instructions!$H$15,Instructions!$I$15,IF(Y360&gt;Instructions!$H$16,Instructions!$I$16,IF(Y360&gt;Instructions!$H$17,Instructions!$I$17,Instructions!$I$18))))</f>
        <v>TN-No contest</v>
      </c>
      <c r="AD360" s="226">
        <f t="shared" si="82"/>
        <v>37612</v>
      </c>
      <c r="AE360" s="226">
        <f t="shared" si="83"/>
        <v>0</v>
      </c>
      <c r="AF360" s="227">
        <f t="shared" si="84"/>
        <v>8256</v>
      </c>
      <c r="AG360" s="341">
        <f t="shared" si="85"/>
        <v>45868</v>
      </c>
    </row>
    <row r="361" spans="1:34">
      <c r="A361" s="352" t="s">
        <v>105</v>
      </c>
      <c r="B361" s="427">
        <v>3</v>
      </c>
      <c r="C361" s="220" t="s">
        <v>41</v>
      </c>
      <c r="D361" s="379" t="s">
        <v>682</v>
      </c>
      <c r="E361"/>
      <c r="F361"/>
      <c r="G361"/>
      <c r="H361"/>
      <c r="I361"/>
      <c r="J361" t="str">
        <f t="shared" si="75"/>
        <v>TN-Yes</v>
      </c>
      <c r="K361" t="str">
        <f t="shared" si="76"/>
        <v>TN-Yes</v>
      </c>
      <c r="L361" s="415"/>
      <c r="M361" s="415"/>
      <c r="N361" s="255">
        <v>2010</v>
      </c>
      <c r="O361" s="416">
        <v>53983</v>
      </c>
      <c r="P361" s="416"/>
      <c r="Q361" s="416">
        <v>97344</v>
      </c>
      <c r="R361" s="416"/>
      <c r="S361" s="416">
        <v>4770</v>
      </c>
      <c r="T361" s="353">
        <f t="shared" si="77"/>
        <v>156097</v>
      </c>
      <c r="U361" s="228"/>
      <c r="V361" s="221">
        <f t="shared" si="78"/>
        <v>97344</v>
      </c>
      <c r="W361" s="388">
        <f t="shared" si="87"/>
        <v>53983</v>
      </c>
      <c r="X361" s="222">
        <f t="shared" si="79"/>
        <v>0.28653842341419578</v>
      </c>
      <c r="Y361" s="421">
        <f t="shared" si="86"/>
        <v>0.27778240453051628</v>
      </c>
      <c r="Z361" s="223">
        <f t="shared" si="80"/>
        <v>0.62361224110649149</v>
      </c>
      <c r="AA361" s="224" t="str">
        <f t="shared" si="74"/>
        <v>TN-No</v>
      </c>
      <c r="AB361" s="225" t="str">
        <f t="shared" si="81"/>
        <v>TN-Rep</v>
      </c>
      <c r="AC361" s="422" t="str">
        <f>C361&amp;"-"&amp;IF(Y361&gt;Instructions!$H$14,Instructions!$I$14,IF(Y361&gt;Instructions!$H$15,Instructions!$I$15,IF(Y361&gt;Instructions!$H$16,Instructions!$I$16,IF(Y361&gt;Instructions!$H$17,Instructions!$I$17,Instructions!$I$18))))</f>
        <v>TN-Landslide</v>
      </c>
      <c r="AD361" s="226">
        <f t="shared" si="82"/>
        <v>53983</v>
      </c>
      <c r="AE361" s="226">
        <f t="shared" si="83"/>
        <v>0</v>
      </c>
      <c r="AF361" s="227">
        <f t="shared" si="84"/>
        <v>4770</v>
      </c>
      <c r="AG361" s="341">
        <f t="shared" si="85"/>
        <v>58753</v>
      </c>
    </row>
    <row r="362" spans="1:34">
      <c r="A362" s="352" t="s">
        <v>105</v>
      </c>
      <c r="B362" s="427">
        <v>4</v>
      </c>
      <c r="C362" s="220" t="s">
        <v>41</v>
      </c>
      <c r="D362" s="379" t="s">
        <v>683</v>
      </c>
      <c r="E362"/>
      <c r="F362"/>
      <c r="G362"/>
      <c r="H362"/>
      <c r="I362"/>
      <c r="J362" t="str">
        <f t="shared" si="75"/>
        <v>TN-Yes</v>
      </c>
      <c r="K362" t="str">
        <f t="shared" si="76"/>
        <v>TN-Yes</v>
      </c>
      <c r="L362" s="415"/>
      <c r="M362" s="415"/>
      <c r="N362" s="255">
        <v>2010</v>
      </c>
      <c r="O362" s="416">
        <v>51357</v>
      </c>
      <c r="P362" s="416"/>
      <c r="Q362" s="416">
        <v>84815</v>
      </c>
      <c r="R362" s="416"/>
      <c r="S362" s="416">
        <v>9246</v>
      </c>
      <c r="T362" s="353">
        <f t="shared" si="77"/>
        <v>145418</v>
      </c>
      <c r="U362" s="228"/>
      <c r="V362" s="221">
        <f t="shared" si="78"/>
        <v>84815</v>
      </c>
      <c r="W362" s="388">
        <f t="shared" si="87"/>
        <v>51357</v>
      </c>
      <c r="X362" s="222">
        <f t="shared" si="79"/>
        <v>0.24570396263549041</v>
      </c>
      <c r="Y362" s="421">
        <f t="shared" si="86"/>
        <v>0.23008155799144536</v>
      </c>
      <c r="Z362" s="223">
        <f t="shared" si="80"/>
        <v>0.5832496664787028</v>
      </c>
      <c r="AA362" s="224" t="str">
        <f t="shared" si="74"/>
        <v>TN-No</v>
      </c>
      <c r="AB362" s="225" t="str">
        <f t="shared" si="81"/>
        <v>TN-Rep</v>
      </c>
      <c r="AC362" s="422" t="str">
        <f>C362&amp;"-"&amp;IF(Y362&gt;Instructions!$H$14,Instructions!$I$14,IF(Y362&gt;Instructions!$H$15,Instructions!$I$15,IF(Y362&gt;Instructions!$H$16,Instructions!$I$16,IF(Y362&gt;Instructions!$H$17,Instructions!$I$17,Instructions!$I$18))))</f>
        <v>TN-Landslide</v>
      </c>
      <c r="AD362" s="226">
        <f t="shared" si="82"/>
        <v>51357</v>
      </c>
      <c r="AE362" s="226">
        <f t="shared" si="83"/>
        <v>0</v>
      </c>
      <c r="AF362" s="227">
        <f t="shared" si="84"/>
        <v>9246</v>
      </c>
      <c r="AG362" s="341">
        <f t="shared" si="85"/>
        <v>60603</v>
      </c>
    </row>
    <row r="363" spans="1:34">
      <c r="A363" s="352" t="s">
        <v>105</v>
      </c>
      <c r="B363" s="427">
        <v>5</v>
      </c>
      <c r="C363" s="220" t="s">
        <v>41</v>
      </c>
      <c r="D363" s="379" t="s">
        <v>684</v>
      </c>
      <c r="E363"/>
      <c r="F363" s="414"/>
      <c r="G363" s="379"/>
      <c r="H363"/>
      <c r="I363"/>
      <c r="J363" t="str">
        <f t="shared" si="75"/>
        <v>TN-Yes</v>
      </c>
      <c r="K363" t="str">
        <f t="shared" si="76"/>
        <v>TN-Yes</v>
      </c>
      <c r="L363" s="417"/>
      <c r="M363" s="417"/>
      <c r="N363" s="255">
        <v>2002</v>
      </c>
      <c r="O363" s="416">
        <v>96148</v>
      </c>
      <c r="P363" s="416"/>
      <c r="Q363" s="416">
        <v>55078</v>
      </c>
      <c r="R363" s="416"/>
      <c r="S363" s="416">
        <v>3050</v>
      </c>
      <c r="T363" s="353">
        <f t="shared" si="77"/>
        <v>154276</v>
      </c>
      <c r="U363" s="396"/>
      <c r="V363" s="221">
        <f t="shared" si="78"/>
        <v>96148</v>
      </c>
      <c r="W363" s="388">
        <f t="shared" si="87"/>
        <v>55078</v>
      </c>
      <c r="X363" s="222">
        <f t="shared" si="79"/>
        <v>0.27158028381362992</v>
      </c>
      <c r="Y363" s="421">
        <f t="shared" si="86"/>
        <v>0.26621120589074132</v>
      </c>
      <c r="Z363" s="223">
        <f t="shared" si="80"/>
        <v>0.62322072130467476</v>
      </c>
      <c r="AA363" s="224" t="str">
        <f t="shared" si="74"/>
        <v>TN-No</v>
      </c>
      <c r="AB363" s="225" t="str">
        <f t="shared" si="81"/>
        <v>TN-Dem</v>
      </c>
      <c r="AC363" s="422" t="str">
        <f>C363&amp;"-"&amp;IF(Y363&gt;Instructions!$H$14,Instructions!$I$14,IF(Y363&gt;Instructions!$H$15,Instructions!$I$15,IF(Y363&gt;Instructions!$H$16,Instructions!$I$16,IF(Y363&gt;Instructions!$H$17,Instructions!$I$17,Instructions!$I$18))))</f>
        <v>TN-Landslide</v>
      </c>
      <c r="AD363" s="226">
        <f t="shared" si="82"/>
        <v>0</v>
      </c>
      <c r="AE363" s="226">
        <f t="shared" si="83"/>
        <v>55078</v>
      </c>
      <c r="AF363" s="227">
        <f t="shared" si="84"/>
        <v>3050</v>
      </c>
      <c r="AG363" s="341">
        <f t="shared" si="85"/>
        <v>58128</v>
      </c>
      <c r="AH363" s="413">
        <f>SUM(AG358:AG363)</f>
        <v>339774</v>
      </c>
    </row>
    <row r="364" spans="1:34">
      <c r="A364" s="352" t="s">
        <v>105</v>
      </c>
      <c r="B364" s="427">
        <v>6</v>
      </c>
      <c r="C364" s="220" t="s">
        <v>41</v>
      </c>
      <c r="D364" s="379" t="s">
        <v>685</v>
      </c>
      <c r="E364" s="414" t="s">
        <v>372</v>
      </c>
      <c r="F364" s="379"/>
      <c r="G364"/>
      <c r="H364"/>
      <c r="I364"/>
      <c r="J364" t="str">
        <f t="shared" si="75"/>
        <v>TN-Yes</v>
      </c>
      <c r="K364" t="str">
        <f t="shared" si="76"/>
        <v>TN-Yes</v>
      </c>
      <c r="L364" s="352"/>
      <c r="M364" s="352"/>
      <c r="N364" s="255">
        <v>2010</v>
      </c>
      <c r="O364" s="416">
        <v>37232</v>
      </c>
      <c r="P364" s="416"/>
      <c r="Q364" s="416">
        <v>115231</v>
      </c>
      <c r="R364" s="416"/>
      <c r="S364" s="416">
        <v>9634</v>
      </c>
      <c r="T364" s="353">
        <f t="shared" si="77"/>
        <v>162097</v>
      </c>
      <c r="U364" s="228"/>
      <c r="V364" s="221">
        <f t="shared" si="78"/>
        <v>115231</v>
      </c>
      <c r="W364" s="388">
        <f t="shared" si="87"/>
        <v>37232</v>
      </c>
      <c r="X364" s="222">
        <f t="shared" si="79"/>
        <v>0.51159297665663139</v>
      </c>
      <c r="Y364" s="421">
        <f t="shared" si="86"/>
        <v>0.48118719038600344</v>
      </c>
      <c r="Z364" s="223">
        <f t="shared" si="80"/>
        <v>0.71087682066910551</v>
      </c>
      <c r="AA364" s="224" t="str">
        <f t="shared" si="74"/>
        <v>TN-No</v>
      </c>
      <c r="AB364" s="225" t="str">
        <f t="shared" si="81"/>
        <v>TN-Rep</v>
      </c>
      <c r="AC364" s="422" t="str">
        <f>C364&amp;"-"&amp;IF(Y364&gt;Instructions!$H$14,Instructions!$I$14,IF(Y364&gt;Instructions!$H$15,Instructions!$I$15,IF(Y364&gt;Instructions!$H$16,Instructions!$I$16,IF(Y364&gt;Instructions!$H$17,Instructions!$I$17,Instructions!$I$18))))</f>
        <v>TN-No contest</v>
      </c>
      <c r="AD364" s="226">
        <f t="shared" si="82"/>
        <v>37232</v>
      </c>
      <c r="AE364" s="226">
        <f t="shared" si="83"/>
        <v>0</v>
      </c>
      <c r="AF364" s="227">
        <f t="shared" si="84"/>
        <v>9634</v>
      </c>
      <c r="AG364" s="341">
        <f t="shared" si="85"/>
        <v>46866</v>
      </c>
      <c r="AH364" s="413">
        <f>SUM(AG364)</f>
        <v>46866</v>
      </c>
    </row>
    <row r="365" spans="1:34">
      <c r="A365" s="352" t="s">
        <v>105</v>
      </c>
      <c r="B365" s="427">
        <v>7</v>
      </c>
      <c r="C365" s="220" t="s">
        <v>41</v>
      </c>
      <c r="D365" s="379" t="s">
        <v>686</v>
      </c>
      <c r="E365" s="414" t="s">
        <v>372</v>
      </c>
      <c r="F365"/>
      <c r="G365"/>
      <c r="H365"/>
      <c r="I365"/>
      <c r="J365" t="str">
        <f t="shared" si="75"/>
        <v>TN-Yes</v>
      </c>
      <c r="K365" t="str">
        <f t="shared" si="76"/>
        <v>TN-Yes</v>
      </c>
      <c r="L365" s="415"/>
      <c r="M365" s="415"/>
      <c r="N365" s="255">
        <v>2002</v>
      </c>
      <c r="O365" s="416">
        <v>42280</v>
      </c>
      <c r="P365" s="416"/>
      <c r="Q365" s="416">
        <v>110534</v>
      </c>
      <c r="R365" s="416"/>
      <c r="S365" s="416">
        <v>5093</v>
      </c>
      <c r="T365" s="353">
        <f t="shared" si="77"/>
        <v>157907</v>
      </c>
      <c r="U365" s="228"/>
      <c r="V365" s="221">
        <f t="shared" si="78"/>
        <v>110534</v>
      </c>
      <c r="W365" s="388">
        <f t="shared" si="87"/>
        <v>42280</v>
      </c>
      <c r="X365" s="222">
        <f t="shared" si="79"/>
        <v>0.44664755846977372</v>
      </c>
      <c r="Y365" s="421">
        <f t="shared" si="86"/>
        <v>0.43224176255644148</v>
      </c>
      <c r="Z365" s="223">
        <f t="shared" si="80"/>
        <v>0.69999430044266564</v>
      </c>
      <c r="AA365" s="224" t="str">
        <f t="shared" si="74"/>
        <v>TN-No</v>
      </c>
      <c r="AB365" s="225" t="str">
        <f t="shared" si="81"/>
        <v>TN-Rep</v>
      </c>
      <c r="AC365" s="422" t="str">
        <f>C365&amp;"-"&amp;IF(Y365&gt;Instructions!$H$14,Instructions!$I$14,IF(Y365&gt;Instructions!$H$15,Instructions!$I$15,IF(Y365&gt;Instructions!$H$16,Instructions!$I$16,IF(Y365&gt;Instructions!$H$17,Instructions!$I$17,Instructions!$I$18))))</f>
        <v>TN-No contest</v>
      </c>
      <c r="AD365" s="226">
        <f t="shared" si="82"/>
        <v>42280</v>
      </c>
      <c r="AE365" s="226">
        <f t="shared" si="83"/>
        <v>0</v>
      </c>
      <c r="AF365" s="227">
        <f t="shared" si="84"/>
        <v>5093</v>
      </c>
      <c r="AG365" s="341">
        <f t="shared" si="85"/>
        <v>47373</v>
      </c>
    </row>
    <row r="366" spans="1:34">
      <c r="A366" s="352" t="s">
        <v>105</v>
      </c>
      <c r="B366" s="427">
        <v>8</v>
      </c>
      <c r="C366" s="220" t="s">
        <v>41</v>
      </c>
      <c r="D366" s="379" t="s">
        <v>687</v>
      </c>
      <c r="E366"/>
      <c r="F366"/>
      <c r="G366"/>
      <c r="H366"/>
      <c r="I366"/>
      <c r="J366" t="str">
        <f t="shared" si="75"/>
        <v>TN-Yes</v>
      </c>
      <c r="K366" t="str">
        <f t="shared" si="76"/>
        <v>TN-Yes</v>
      </c>
      <c r="L366" s="352"/>
      <c r="M366" s="352"/>
      <c r="N366" s="255">
        <v>2010</v>
      </c>
      <c r="O366" s="416">
        <v>42433</v>
      </c>
      <c r="P366" s="416"/>
      <c r="Q366" s="416">
        <v>122255</v>
      </c>
      <c r="R366" s="416"/>
      <c r="S366" s="416">
        <v>7907</v>
      </c>
      <c r="T366" s="353">
        <f t="shared" si="77"/>
        <v>172595</v>
      </c>
      <c r="U366" s="228"/>
      <c r="V366" s="221">
        <f t="shared" si="78"/>
        <v>122255</v>
      </c>
      <c r="W366" s="388">
        <f t="shared" si="87"/>
        <v>42433</v>
      </c>
      <c r="X366" s="222">
        <f t="shared" si="79"/>
        <v>0.48468619450111727</v>
      </c>
      <c r="Y366" s="421">
        <f t="shared" si="86"/>
        <v>0.46248153190996266</v>
      </c>
      <c r="Z366" s="223">
        <f t="shared" si="80"/>
        <v>0.70833454039804167</v>
      </c>
      <c r="AA366" s="224" t="str">
        <f t="shared" si="74"/>
        <v>TN-No</v>
      </c>
      <c r="AB366" s="225" t="str">
        <f t="shared" si="81"/>
        <v>TN-Rep</v>
      </c>
      <c r="AC366" s="422" t="str">
        <f>C366&amp;"-"&amp;IF(Y366&gt;Instructions!$H$14,Instructions!$I$14,IF(Y366&gt;Instructions!$H$15,Instructions!$I$15,IF(Y366&gt;Instructions!$H$16,Instructions!$I$16,IF(Y366&gt;Instructions!$H$17,Instructions!$I$17,Instructions!$I$18))))</f>
        <v>TN-No contest</v>
      </c>
      <c r="AD366" s="226">
        <f t="shared" si="82"/>
        <v>42433</v>
      </c>
      <c r="AE366" s="226">
        <f t="shared" si="83"/>
        <v>0</v>
      </c>
      <c r="AF366" s="227">
        <f t="shared" si="84"/>
        <v>7907</v>
      </c>
      <c r="AG366" s="341">
        <f t="shared" si="85"/>
        <v>50340</v>
      </c>
    </row>
    <row r="367" spans="1:34">
      <c r="A367" s="352" t="s">
        <v>105</v>
      </c>
      <c r="B367" s="427">
        <v>9</v>
      </c>
      <c r="C367" s="220" t="s">
        <v>41</v>
      </c>
      <c r="D367" s="379" t="s">
        <v>688</v>
      </c>
      <c r="E367"/>
      <c r="F367"/>
      <c r="G367"/>
      <c r="H367"/>
      <c r="I367"/>
      <c r="J367" t="str">
        <f t="shared" si="75"/>
        <v>TN-Yes</v>
      </c>
      <c r="K367" t="str">
        <f t="shared" si="76"/>
        <v>TN-Yes</v>
      </c>
      <c r="L367" s="417"/>
      <c r="M367" s="417"/>
      <c r="N367" s="255">
        <v>2006</v>
      </c>
      <c r="O367" s="416">
        <v>87376</v>
      </c>
      <c r="P367" s="416"/>
      <c r="Q367" s="416">
        <v>27173</v>
      </c>
      <c r="R367" s="416"/>
      <c r="S367" s="416">
        <v>2001</v>
      </c>
      <c r="T367" s="353">
        <f t="shared" si="77"/>
        <v>116550</v>
      </c>
      <c r="U367" s="228"/>
      <c r="V367" s="221">
        <f t="shared" si="78"/>
        <v>87376</v>
      </c>
      <c r="W367" s="388">
        <f t="shared" si="87"/>
        <v>27173</v>
      </c>
      <c r="X367" s="222">
        <f t="shared" si="79"/>
        <v>0.52556547852883917</v>
      </c>
      <c r="Y367" s="421">
        <f t="shared" si="86"/>
        <v>0.51654225654225649</v>
      </c>
      <c r="Z367" s="223">
        <f t="shared" si="80"/>
        <v>0.74968682968682965</v>
      </c>
      <c r="AA367" s="224" t="str">
        <f t="shared" si="74"/>
        <v>TN-No</v>
      </c>
      <c r="AB367" s="225" t="str">
        <f t="shared" si="81"/>
        <v>TN-Dem</v>
      </c>
      <c r="AC367" s="422" t="str">
        <f>C367&amp;"-"&amp;IF(Y367&gt;Instructions!$H$14,Instructions!$I$14,IF(Y367&gt;Instructions!$H$15,Instructions!$I$15,IF(Y367&gt;Instructions!$H$16,Instructions!$I$16,IF(Y367&gt;Instructions!$H$17,Instructions!$I$17,Instructions!$I$18))))</f>
        <v>TN-No contest</v>
      </c>
      <c r="AD367" s="226">
        <f t="shared" si="82"/>
        <v>0</v>
      </c>
      <c r="AE367" s="226">
        <f t="shared" si="83"/>
        <v>27173</v>
      </c>
      <c r="AF367" s="227">
        <f t="shared" si="84"/>
        <v>2001</v>
      </c>
      <c r="AG367" s="341">
        <f t="shared" si="85"/>
        <v>29174</v>
      </c>
    </row>
    <row r="368" spans="1:34">
      <c r="A368" s="352" t="s">
        <v>106</v>
      </c>
      <c r="B368" s="427">
        <v>1</v>
      </c>
      <c r="C368" s="220" t="s">
        <v>42</v>
      </c>
      <c r="D368" s="379" t="s">
        <v>689</v>
      </c>
      <c r="E368"/>
      <c r="F368"/>
      <c r="G368" s="379"/>
      <c r="H368"/>
      <c r="I368"/>
      <c r="J368" t="str">
        <f t="shared" si="75"/>
        <v>TX-Yes</v>
      </c>
      <c r="K368" t="str">
        <f t="shared" si="76"/>
        <v>TX-Yes</v>
      </c>
      <c r="L368" s="415"/>
      <c r="M368" s="415"/>
      <c r="N368" s="255">
        <v>2004</v>
      </c>
      <c r="O368" s="416">
        <v>33476</v>
      </c>
      <c r="P368" s="416"/>
      <c r="Q368" s="416">
        <v>115084</v>
      </c>
      <c r="R368" s="416"/>
      <c r="S368" s="416">
        <v>0</v>
      </c>
      <c r="T368" s="353">
        <f t="shared" si="77"/>
        <v>148560</v>
      </c>
      <c r="U368" s="228"/>
      <c r="V368" s="221">
        <f t="shared" si="78"/>
        <v>115084</v>
      </c>
      <c r="W368" s="388">
        <f t="shared" si="87"/>
        <v>33476</v>
      </c>
      <c r="X368" s="222">
        <f t="shared" si="79"/>
        <v>0.54932687129779212</v>
      </c>
      <c r="Y368" s="421">
        <f t="shared" si="86"/>
        <v>0.54932687129779212</v>
      </c>
      <c r="Z368" s="223">
        <f t="shared" si="80"/>
        <v>0.77466343564889606</v>
      </c>
      <c r="AA368" s="224" t="str">
        <f t="shared" si="74"/>
        <v>TX-No</v>
      </c>
      <c r="AB368" s="225" t="str">
        <f t="shared" si="81"/>
        <v>TX-Rep</v>
      </c>
      <c r="AC368" s="422" t="str">
        <f>C368&amp;"-"&amp;IF(Y368&gt;Instructions!$H$14,Instructions!$I$14,IF(Y368&gt;Instructions!$H$15,Instructions!$I$15,IF(Y368&gt;Instructions!$H$16,Instructions!$I$16,IF(Y368&gt;Instructions!$H$17,Instructions!$I$17,Instructions!$I$18))))</f>
        <v>TX-No contest</v>
      </c>
      <c r="AD368" s="226">
        <f t="shared" si="82"/>
        <v>33476</v>
      </c>
      <c r="AE368" s="226">
        <f t="shared" si="83"/>
        <v>0</v>
      </c>
      <c r="AF368" s="227">
        <f t="shared" si="84"/>
        <v>0</v>
      </c>
      <c r="AG368" s="341">
        <f t="shared" si="85"/>
        <v>33476</v>
      </c>
    </row>
    <row r="369" spans="1:34">
      <c r="A369" s="352" t="s">
        <v>106</v>
      </c>
      <c r="B369" s="427">
        <v>2</v>
      </c>
      <c r="C369" s="220" t="s">
        <v>42</v>
      </c>
      <c r="D369" s="379" t="s">
        <v>690</v>
      </c>
      <c r="E369"/>
      <c r="F369"/>
      <c r="G369" s="379"/>
      <c r="H369"/>
      <c r="I369"/>
      <c r="J369" t="str">
        <f t="shared" si="75"/>
        <v>TX-Yes</v>
      </c>
      <c r="K369" t="str">
        <f t="shared" si="76"/>
        <v>TX-Yes</v>
      </c>
      <c r="L369" s="415"/>
      <c r="M369" s="415"/>
      <c r="N369" s="255">
        <v>2004</v>
      </c>
      <c r="O369" s="416">
        <v>44462</v>
      </c>
      <c r="P369" s="416"/>
      <c r="Q369" s="416">
        <v>101936</v>
      </c>
      <c r="R369" s="416"/>
      <c r="S369" s="416">
        <v>3628</v>
      </c>
      <c r="T369" s="353">
        <f t="shared" si="77"/>
        <v>150026</v>
      </c>
      <c r="U369" s="228"/>
      <c r="V369" s="221">
        <f t="shared" si="78"/>
        <v>101936</v>
      </c>
      <c r="W369" s="388">
        <f t="shared" si="87"/>
        <v>44462</v>
      </c>
      <c r="X369" s="222">
        <f t="shared" si="79"/>
        <v>0.39258733042801131</v>
      </c>
      <c r="Y369" s="421">
        <f t="shared" si="86"/>
        <v>0.38309359710983426</v>
      </c>
      <c r="Z369" s="223">
        <f t="shared" si="80"/>
        <v>0.67945556103608706</v>
      </c>
      <c r="AA369" s="224" t="str">
        <f t="shared" si="74"/>
        <v>TX-No</v>
      </c>
      <c r="AB369" s="225" t="str">
        <f t="shared" si="81"/>
        <v>TX-Rep</v>
      </c>
      <c r="AC369" s="422" t="str">
        <f>C369&amp;"-"&amp;IF(Y369&gt;Instructions!$H$14,Instructions!$I$14,IF(Y369&gt;Instructions!$H$15,Instructions!$I$15,IF(Y369&gt;Instructions!$H$16,Instructions!$I$16,IF(Y369&gt;Instructions!$H$17,Instructions!$I$17,Instructions!$I$18))))</f>
        <v>TX-Landslide</v>
      </c>
      <c r="AD369" s="226">
        <f t="shared" si="82"/>
        <v>44462</v>
      </c>
      <c r="AE369" s="226">
        <f t="shared" si="83"/>
        <v>0</v>
      </c>
      <c r="AF369" s="227">
        <f t="shared" si="84"/>
        <v>3628</v>
      </c>
      <c r="AG369" s="341">
        <f t="shared" si="85"/>
        <v>48090</v>
      </c>
    </row>
    <row r="370" spans="1:34">
      <c r="A370" s="352" t="s">
        <v>106</v>
      </c>
      <c r="B370" s="427">
        <v>3</v>
      </c>
      <c r="C370" s="220" t="s">
        <v>42</v>
      </c>
      <c r="D370" s="379" t="s">
        <v>691</v>
      </c>
      <c r="E370" s="414"/>
      <c r="F370"/>
      <c r="G370"/>
      <c r="H370" s="379"/>
      <c r="I370"/>
      <c r="J370" t="str">
        <f t="shared" si="75"/>
        <v>TX-Yes</v>
      </c>
      <c r="K370" t="str">
        <f t="shared" si="76"/>
        <v>TX-Yes</v>
      </c>
      <c r="L370" s="415"/>
      <c r="M370" s="415"/>
      <c r="N370" s="255">
        <v>1991</v>
      </c>
      <c r="O370" s="416">
        <v>0</v>
      </c>
      <c r="P370" s="416"/>
      <c r="Q370" s="416">
        <v>113404</v>
      </c>
      <c r="R370" s="416"/>
      <c r="S370" s="416">
        <v>24876</v>
      </c>
      <c r="T370" s="353">
        <f t="shared" si="77"/>
        <v>138280</v>
      </c>
      <c r="U370" s="228"/>
      <c r="V370" s="221">
        <f t="shared" si="78"/>
        <v>113404</v>
      </c>
      <c r="W370" s="388">
        <f t="shared" si="87"/>
        <v>24876</v>
      </c>
      <c r="X370" s="222">
        <f t="shared" si="79"/>
        <v>1</v>
      </c>
      <c r="Y370" s="421">
        <f t="shared" si="86"/>
        <v>0.64020827306913519</v>
      </c>
      <c r="Z370" s="223">
        <f t="shared" si="80"/>
        <v>0.8201041365345676</v>
      </c>
      <c r="AA370" s="224" t="str">
        <f t="shared" si="74"/>
        <v>TX-Yes</v>
      </c>
      <c r="AB370" s="225" t="str">
        <f t="shared" si="81"/>
        <v>TX-Rep</v>
      </c>
      <c r="AC370" s="422" t="str">
        <f>C370&amp;"-"&amp;IF(Y370&gt;Instructions!$H$14,Instructions!$I$14,IF(Y370&gt;Instructions!$H$15,Instructions!$I$15,IF(Y370&gt;Instructions!$H$16,Instructions!$I$16,IF(Y370&gt;Instructions!$H$17,Instructions!$I$17,Instructions!$I$18))))</f>
        <v>TX-No contest</v>
      </c>
      <c r="AD370" s="226">
        <f t="shared" si="82"/>
        <v>0</v>
      </c>
      <c r="AE370" s="226">
        <f t="shared" si="83"/>
        <v>0</v>
      </c>
      <c r="AF370" s="227">
        <f t="shared" si="84"/>
        <v>24876</v>
      </c>
      <c r="AG370" s="341">
        <f t="shared" si="85"/>
        <v>24876</v>
      </c>
      <c r="AH370" s="380"/>
    </row>
    <row r="371" spans="1:34">
      <c r="A371" s="352" t="s">
        <v>106</v>
      </c>
      <c r="B371" s="427">
        <v>4</v>
      </c>
      <c r="C371" s="220" t="s">
        <v>42</v>
      </c>
      <c r="D371" s="379" t="s">
        <v>817</v>
      </c>
      <c r="E371" s="414"/>
      <c r="F371"/>
      <c r="G371" s="379"/>
      <c r="H371"/>
      <c r="I371"/>
      <c r="J371" t="str">
        <f t="shared" si="75"/>
        <v>TX-No</v>
      </c>
      <c r="K371" t="str">
        <f t="shared" si="76"/>
        <v>TX-No</v>
      </c>
      <c r="L371" s="415">
        <v>0</v>
      </c>
      <c r="M371" s="415"/>
      <c r="N371" s="255">
        <v>2014</v>
      </c>
      <c r="O371" s="416">
        <v>0</v>
      </c>
      <c r="P371" s="416"/>
      <c r="Q371" s="416">
        <v>115085</v>
      </c>
      <c r="R371" s="416"/>
      <c r="S371" s="416">
        <v>0</v>
      </c>
      <c r="T371" s="353">
        <f t="shared" si="77"/>
        <v>115085</v>
      </c>
      <c r="U371" s="228"/>
      <c r="V371" s="221">
        <f t="shared" si="78"/>
        <v>115085</v>
      </c>
      <c r="W371" s="388">
        <f t="shared" si="87"/>
        <v>0</v>
      </c>
      <c r="X371" s="222">
        <f t="shared" si="79"/>
        <v>1</v>
      </c>
      <c r="Y371" s="421">
        <f t="shared" si="86"/>
        <v>1</v>
      </c>
      <c r="Z371" s="223">
        <f t="shared" si="80"/>
        <v>1</v>
      </c>
      <c r="AA371" s="224" t="str">
        <f t="shared" si="74"/>
        <v>TX-Yes</v>
      </c>
      <c r="AB371" s="225" t="str">
        <f t="shared" si="81"/>
        <v>TX-Rep</v>
      </c>
      <c r="AC371" s="422" t="str">
        <f>C371&amp;"-"&amp;IF(Y371&gt;Instructions!$H$14,Instructions!$I$14,IF(Y371&gt;Instructions!$H$15,Instructions!$I$15,IF(Y371&gt;Instructions!$H$16,Instructions!$I$16,IF(Y371&gt;Instructions!$H$17,Instructions!$I$17,Instructions!$I$18))))</f>
        <v>TX-No contest</v>
      </c>
      <c r="AD371" s="226">
        <f t="shared" si="82"/>
        <v>0</v>
      </c>
      <c r="AE371" s="226">
        <f t="shared" si="83"/>
        <v>0</v>
      </c>
      <c r="AF371" s="227">
        <f t="shared" si="84"/>
        <v>0</v>
      </c>
      <c r="AG371" s="341">
        <f t="shared" si="85"/>
        <v>0</v>
      </c>
    </row>
    <row r="372" spans="1:34">
      <c r="A372" s="352" t="s">
        <v>106</v>
      </c>
      <c r="B372" s="427">
        <v>5</v>
      </c>
      <c r="C372" s="220" t="s">
        <v>42</v>
      </c>
      <c r="D372" s="379" t="s">
        <v>692</v>
      </c>
      <c r="E372"/>
      <c r="F372"/>
      <c r="G372"/>
      <c r="H372"/>
      <c r="I372"/>
      <c r="J372" t="str">
        <f t="shared" si="75"/>
        <v>TX-Yes</v>
      </c>
      <c r="K372" t="str">
        <f t="shared" si="76"/>
        <v>TX-Yes</v>
      </c>
      <c r="L372" s="415"/>
      <c r="M372" s="415"/>
      <c r="N372" s="255">
        <v>2002</v>
      </c>
      <c r="O372" s="416">
        <v>0</v>
      </c>
      <c r="P372" s="416"/>
      <c r="Q372" s="416">
        <v>88998</v>
      </c>
      <c r="R372" s="416"/>
      <c r="S372" s="416">
        <v>15264</v>
      </c>
      <c r="T372" s="353">
        <f t="shared" si="77"/>
        <v>104262</v>
      </c>
      <c r="U372" s="396"/>
      <c r="V372" s="221">
        <f t="shared" si="78"/>
        <v>88998</v>
      </c>
      <c r="W372" s="388">
        <f t="shared" si="87"/>
        <v>15264</v>
      </c>
      <c r="X372" s="222">
        <f t="shared" si="79"/>
        <v>1</v>
      </c>
      <c r="Y372" s="421">
        <f t="shared" si="86"/>
        <v>0.70719917131840937</v>
      </c>
      <c r="Z372" s="223">
        <f t="shared" si="80"/>
        <v>0.85359958565920468</v>
      </c>
      <c r="AA372" s="224" t="str">
        <f t="shared" si="74"/>
        <v>TX-Yes</v>
      </c>
      <c r="AB372" s="225" t="str">
        <f t="shared" si="81"/>
        <v>TX-Rep</v>
      </c>
      <c r="AC372" s="422" t="str">
        <f>C372&amp;"-"&amp;IF(Y372&gt;Instructions!$H$14,Instructions!$I$14,IF(Y372&gt;Instructions!$H$15,Instructions!$I$15,IF(Y372&gt;Instructions!$H$16,Instructions!$I$16,IF(Y372&gt;Instructions!$H$17,Instructions!$I$17,Instructions!$I$18))))</f>
        <v>TX-No contest</v>
      </c>
      <c r="AD372" s="226">
        <f t="shared" si="82"/>
        <v>0</v>
      </c>
      <c r="AE372" s="226">
        <f t="shared" si="83"/>
        <v>0</v>
      </c>
      <c r="AF372" s="227">
        <f t="shared" si="84"/>
        <v>15264</v>
      </c>
      <c r="AG372" s="341">
        <f t="shared" si="85"/>
        <v>15264</v>
      </c>
      <c r="AH372" s="380"/>
    </row>
    <row r="373" spans="1:34">
      <c r="A373" s="352" t="s">
        <v>106</v>
      </c>
      <c r="B373" s="427">
        <v>6</v>
      </c>
      <c r="C373" s="220" t="s">
        <v>42</v>
      </c>
      <c r="D373" s="379" t="s">
        <v>693</v>
      </c>
      <c r="E373"/>
      <c r="F373"/>
      <c r="G373" s="379"/>
      <c r="H373"/>
      <c r="I373"/>
      <c r="J373" t="str">
        <f t="shared" si="75"/>
        <v>TX-Yes</v>
      </c>
      <c r="K373" t="str">
        <f t="shared" si="76"/>
        <v>TX-Yes</v>
      </c>
      <c r="L373" s="415"/>
      <c r="M373" s="415"/>
      <c r="N373" s="255">
        <v>1984</v>
      </c>
      <c r="O373" s="416">
        <v>55027</v>
      </c>
      <c r="P373" s="416"/>
      <c r="Q373" s="416">
        <v>92334</v>
      </c>
      <c r="R373" s="416"/>
      <c r="S373" s="416">
        <v>3635</v>
      </c>
      <c r="T373" s="353">
        <f t="shared" si="77"/>
        <v>150996</v>
      </c>
      <c r="U373" s="228"/>
      <c r="V373" s="221">
        <f t="shared" si="78"/>
        <v>92334</v>
      </c>
      <c r="W373" s="388">
        <f t="shared" si="87"/>
        <v>55027</v>
      </c>
      <c r="X373" s="222">
        <f t="shared" si="79"/>
        <v>0.25316739164365065</v>
      </c>
      <c r="Y373" s="421">
        <f t="shared" si="86"/>
        <v>0.24707277013960632</v>
      </c>
      <c r="Z373" s="223">
        <f t="shared" si="80"/>
        <v>0.61149964237463239</v>
      </c>
      <c r="AA373" s="224" t="str">
        <f t="shared" si="74"/>
        <v>TX-No</v>
      </c>
      <c r="AB373" s="225" t="str">
        <f t="shared" si="81"/>
        <v>TX-Rep</v>
      </c>
      <c r="AC373" s="422" t="str">
        <f>C373&amp;"-"&amp;IF(Y373&gt;Instructions!$H$14,Instructions!$I$14,IF(Y373&gt;Instructions!$H$15,Instructions!$I$15,IF(Y373&gt;Instructions!$H$16,Instructions!$I$16,IF(Y373&gt;Instructions!$H$17,Instructions!$I$17,Instructions!$I$18))))</f>
        <v>TX-Landslide</v>
      </c>
      <c r="AD373" s="226">
        <f t="shared" si="82"/>
        <v>55027</v>
      </c>
      <c r="AE373" s="226">
        <f t="shared" si="83"/>
        <v>0</v>
      </c>
      <c r="AF373" s="227">
        <f t="shared" si="84"/>
        <v>3635</v>
      </c>
      <c r="AG373" s="341">
        <f t="shared" si="85"/>
        <v>58662</v>
      </c>
      <c r="AH373" s="413">
        <f>SUM(AG365:AG373)</f>
        <v>307255</v>
      </c>
    </row>
    <row r="374" spans="1:34">
      <c r="A374" s="352" t="s">
        <v>106</v>
      </c>
      <c r="B374" s="427">
        <v>7</v>
      </c>
      <c r="C374" s="220" t="s">
        <v>42</v>
      </c>
      <c r="D374" s="379" t="s">
        <v>694</v>
      </c>
      <c r="E374" s="379"/>
      <c r="F374"/>
      <c r="G374"/>
      <c r="H374"/>
      <c r="I374"/>
      <c r="J374" t="str">
        <f t="shared" si="75"/>
        <v>TX-Yes</v>
      </c>
      <c r="K374" t="str">
        <f t="shared" si="76"/>
        <v>TX-Yes</v>
      </c>
      <c r="L374" s="415"/>
      <c r="M374" s="415"/>
      <c r="N374" s="255">
        <v>2000</v>
      </c>
      <c r="O374" s="416">
        <v>49478</v>
      </c>
      <c r="P374" s="416"/>
      <c r="Q374" s="416">
        <v>90606</v>
      </c>
      <c r="R374" s="416"/>
      <c r="S374" s="416">
        <v>3135</v>
      </c>
      <c r="T374" s="353">
        <f t="shared" si="77"/>
        <v>143219</v>
      </c>
      <c r="U374" s="228"/>
      <c r="V374" s="221">
        <f t="shared" si="78"/>
        <v>90606</v>
      </c>
      <c r="W374" s="388">
        <f t="shared" si="87"/>
        <v>49478</v>
      </c>
      <c r="X374" s="222">
        <f t="shared" si="79"/>
        <v>0.29359527140858344</v>
      </c>
      <c r="Y374" s="421">
        <f t="shared" si="86"/>
        <v>0.28716860193130794</v>
      </c>
      <c r="Z374" s="223">
        <f t="shared" si="80"/>
        <v>0.6326395240854914</v>
      </c>
      <c r="AA374" s="224" t="str">
        <f t="shared" si="74"/>
        <v>TX-No</v>
      </c>
      <c r="AB374" s="225" t="str">
        <f t="shared" si="81"/>
        <v>TX-Rep</v>
      </c>
      <c r="AC374" s="422" t="str">
        <f>C374&amp;"-"&amp;IF(Y374&gt;Instructions!$H$14,Instructions!$I$14,IF(Y374&gt;Instructions!$H$15,Instructions!$I$15,IF(Y374&gt;Instructions!$H$16,Instructions!$I$16,IF(Y374&gt;Instructions!$H$17,Instructions!$I$17,Instructions!$I$18))))</f>
        <v>TX-Landslide</v>
      </c>
      <c r="AD374" s="226">
        <f t="shared" si="82"/>
        <v>49478</v>
      </c>
      <c r="AE374" s="226">
        <f t="shared" si="83"/>
        <v>0</v>
      </c>
      <c r="AF374" s="227">
        <f t="shared" si="84"/>
        <v>3135</v>
      </c>
      <c r="AG374" s="341">
        <f t="shared" si="85"/>
        <v>52613</v>
      </c>
    </row>
    <row r="375" spans="1:34">
      <c r="A375" s="352" t="s">
        <v>106</v>
      </c>
      <c r="B375" s="427">
        <v>8</v>
      </c>
      <c r="C375" s="220" t="s">
        <v>42</v>
      </c>
      <c r="D375" s="379" t="s">
        <v>695</v>
      </c>
      <c r="E375"/>
      <c r="F375"/>
      <c r="G375"/>
      <c r="H375"/>
      <c r="I375"/>
      <c r="J375" t="str">
        <f t="shared" si="75"/>
        <v>TX-Yes</v>
      </c>
      <c r="K375" t="str">
        <f t="shared" si="76"/>
        <v>TX-Yes</v>
      </c>
      <c r="L375" s="352"/>
      <c r="M375" s="352"/>
      <c r="N375" s="255">
        <v>1996</v>
      </c>
      <c r="O375" s="416">
        <v>0</v>
      </c>
      <c r="P375" s="416"/>
      <c r="Q375" s="416">
        <v>125066</v>
      </c>
      <c r="R375" s="416"/>
      <c r="S375" s="416">
        <v>14947</v>
      </c>
      <c r="T375" s="353">
        <f t="shared" si="77"/>
        <v>140013</v>
      </c>
      <c r="U375" s="228"/>
      <c r="V375" s="221">
        <f t="shared" si="78"/>
        <v>125066</v>
      </c>
      <c r="W375" s="388">
        <f t="shared" si="87"/>
        <v>14947</v>
      </c>
      <c r="X375" s="222">
        <f t="shared" si="79"/>
        <v>1</v>
      </c>
      <c r="Y375" s="421">
        <f t="shared" si="86"/>
        <v>0.78649125438352163</v>
      </c>
      <c r="Z375" s="223">
        <f t="shared" si="80"/>
        <v>0.89324562719176082</v>
      </c>
      <c r="AA375" s="224" t="str">
        <f t="shared" si="74"/>
        <v>TX-Yes</v>
      </c>
      <c r="AB375" s="225" t="str">
        <f t="shared" si="81"/>
        <v>TX-Rep</v>
      </c>
      <c r="AC375" s="422" t="str">
        <f>C375&amp;"-"&amp;IF(Y375&gt;Instructions!$H$14,Instructions!$I$14,IF(Y375&gt;Instructions!$H$15,Instructions!$I$15,IF(Y375&gt;Instructions!$H$16,Instructions!$I$16,IF(Y375&gt;Instructions!$H$17,Instructions!$I$17,Instructions!$I$18))))</f>
        <v>TX-No contest</v>
      </c>
      <c r="AD375" s="226">
        <f t="shared" si="82"/>
        <v>0</v>
      </c>
      <c r="AE375" s="226">
        <f t="shared" si="83"/>
        <v>0</v>
      </c>
      <c r="AF375" s="227">
        <f t="shared" si="84"/>
        <v>14947</v>
      </c>
      <c r="AG375" s="341">
        <f t="shared" si="85"/>
        <v>14947</v>
      </c>
    </row>
    <row r="376" spans="1:34">
      <c r="A376" s="352" t="s">
        <v>106</v>
      </c>
      <c r="B376" s="427">
        <v>9</v>
      </c>
      <c r="C376" s="220" t="s">
        <v>42</v>
      </c>
      <c r="D376" s="379" t="s">
        <v>696</v>
      </c>
      <c r="E376"/>
      <c r="F376" s="414" t="s">
        <v>373</v>
      </c>
      <c r="G376" s="379"/>
      <c r="H376"/>
      <c r="I376"/>
      <c r="J376" t="str">
        <f t="shared" si="75"/>
        <v>TX-Yes</v>
      </c>
      <c r="K376" t="str">
        <f t="shared" si="76"/>
        <v>TX-Yes</v>
      </c>
      <c r="L376" s="417"/>
      <c r="M376" s="417"/>
      <c r="N376" s="255">
        <v>2004</v>
      </c>
      <c r="O376" s="416">
        <v>78109</v>
      </c>
      <c r="P376" s="416"/>
      <c r="Q376" s="416">
        <v>0</v>
      </c>
      <c r="R376" s="416"/>
      <c r="S376" s="416">
        <v>7894</v>
      </c>
      <c r="T376" s="353">
        <f t="shared" si="77"/>
        <v>86003</v>
      </c>
      <c r="U376" s="228"/>
      <c r="V376" s="221">
        <f t="shared" si="78"/>
        <v>78109</v>
      </c>
      <c r="W376" s="388">
        <f t="shared" si="87"/>
        <v>7894</v>
      </c>
      <c r="X376" s="222">
        <f t="shared" si="79"/>
        <v>1</v>
      </c>
      <c r="Y376" s="421">
        <f t="shared" si="86"/>
        <v>0.81642500842993848</v>
      </c>
      <c r="Z376" s="390">
        <f t="shared" si="80"/>
        <v>0.90821250421496924</v>
      </c>
      <c r="AA376" s="391" t="str">
        <f t="shared" si="74"/>
        <v>TX-Yes</v>
      </c>
      <c r="AB376" s="225" t="str">
        <f t="shared" si="81"/>
        <v>TX-Dem</v>
      </c>
      <c r="AC376" s="422" t="str">
        <f>C376&amp;"-"&amp;IF(Y376&gt;Instructions!$H$14,Instructions!$I$14,IF(Y376&gt;Instructions!$H$15,Instructions!$I$15,IF(Y376&gt;Instructions!$H$16,Instructions!$I$16,IF(Y376&gt;Instructions!$H$17,Instructions!$I$17,Instructions!$I$18))))</f>
        <v>TX-No contest</v>
      </c>
      <c r="AD376" s="226">
        <f t="shared" si="82"/>
        <v>0</v>
      </c>
      <c r="AE376" s="226">
        <f t="shared" si="83"/>
        <v>0</v>
      </c>
      <c r="AF376" s="227">
        <f t="shared" si="84"/>
        <v>7894</v>
      </c>
      <c r="AG376" s="341">
        <f t="shared" si="85"/>
        <v>7894</v>
      </c>
    </row>
    <row r="377" spans="1:34">
      <c r="A377" s="352" t="s">
        <v>106</v>
      </c>
      <c r="B377" s="427">
        <v>10</v>
      </c>
      <c r="C377" s="220" t="s">
        <v>42</v>
      </c>
      <c r="D377" s="379" t="s">
        <v>697</v>
      </c>
      <c r="E377"/>
      <c r="F377"/>
      <c r="G377"/>
      <c r="H377"/>
      <c r="I377"/>
      <c r="J377" t="str">
        <f t="shared" si="75"/>
        <v>TX-Yes</v>
      </c>
      <c r="K377" t="str">
        <f t="shared" si="76"/>
        <v>TX-Yes</v>
      </c>
      <c r="L377" s="415"/>
      <c r="M377" s="415"/>
      <c r="N377" s="255">
        <v>2004</v>
      </c>
      <c r="O377" s="416">
        <v>60243</v>
      </c>
      <c r="P377" s="416"/>
      <c r="Q377" s="416">
        <v>109726</v>
      </c>
      <c r="R377" s="416"/>
      <c r="S377" s="416">
        <v>6491</v>
      </c>
      <c r="T377" s="353">
        <f t="shared" si="77"/>
        <v>176460</v>
      </c>
      <c r="U377" s="228"/>
      <c r="V377" s="221">
        <f t="shared" si="78"/>
        <v>109726</v>
      </c>
      <c r="W377" s="388">
        <f t="shared" si="87"/>
        <v>60243</v>
      </c>
      <c r="X377" s="222">
        <f t="shared" si="79"/>
        <v>0.29112955891956771</v>
      </c>
      <c r="Y377" s="421">
        <f t="shared" si="86"/>
        <v>0.2804204918961804</v>
      </c>
      <c r="Z377" s="223">
        <f t="shared" si="80"/>
        <v>0.62181797574521136</v>
      </c>
      <c r="AA377" s="224" t="str">
        <f t="shared" ref="AA377:AA441" si="88">C377&amp;"-"&amp;IF(O377*Q377=0,"Yes","No")</f>
        <v>TX-No</v>
      </c>
      <c r="AB377" s="225" t="str">
        <f t="shared" si="81"/>
        <v>TX-Rep</v>
      </c>
      <c r="AC377" s="422" t="str">
        <f>C377&amp;"-"&amp;IF(Y377&gt;Instructions!$H$14,Instructions!$I$14,IF(Y377&gt;Instructions!$H$15,Instructions!$I$15,IF(Y377&gt;Instructions!$H$16,Instructions!$I$16,IF(Y377&gt;Instructions!$H$17,Instructions!$I$17,Instructions!$I$18))))</f>
        <v>TX-Landslide</v>
      </c>
      <c r="AD377" s="226">
        <f t="shared" si="82"/>
        <v>60243</v>
      </c>
      <c r="AE377" s="226">
        <f t="shared" si="83"/>
        <v>0</v>
      </c>
      <c r="AF377" s="227">
        <f t="shared" si="84"/>
        <v>6491</v>
      </c>
      <c r="AG377" s="341">
        <f t="shared" si="85"/>
        <v>66734</v>
      </c>
    </row>
    <row r="378" spans="1:34">
      <c r="A378" s="352" t="s">
        <v>106</v>
      </c>
      <c r="B378" s="427">
        <v>11</v>
      </c>
      <c r="C378" s="220" t="s">
        <v>42</v>
      </c>
      <c r="D378" s="379" t="s">
        <v>698</v>
      </c>
      <c r="E378"/>
      <c r="F378"/>
      <c r="G378"/>
      <c r="H378"/>
      <c r="I378"/>
      <c r="J378" t="str">
        <f t="shared" si="75"/>
        <v>TX-Yes</v>
      </c>
      <c r="K378" t="str">
        <f t="shared" si="76"/>
        <v>TX-Yes</v>
      </c>
      <c r="L378" s="352"/>
      <c r="M378" s="352"/>
      <c r="N378" s="255">
        <v>2004</v>
      </c>
      <c r="O378" s="416">
        <v>0</v>
      </c>
      <c r="P378" s="416"/>
      <c r="Q378" s="416">
        <v>107939</v>
      </c>
      <c r="R378" s="416"/>
      <c r="S378" s="416">
        <v>11635</v>
      </c>
      <c r="T378" s="353">
        <f t="shared" si="77"/>
        <v>119574</v>
      </c>
      <c r="U378" s="228"/>
      <c r="V378" s="221">
        <f t="shared" si="78"/>
        <v>107939</v>
      </c>
      <c r="W378" s="388">
        <f t="shared" si="87"/>
        <v>11635</v>
      </c>
      <c r="X378" s="222">
        <f t="shared" si="79"/>
        <v>1</v>
      </c>
      <c r="Y378" s="421">
        <f t="shared" si="86"/>
        <v>0.80539247662535329</v>
      </c>
      <c r="Z378" s="223">
        <f t="shared" si="80"/>
        <v>0.90269623831267665</v>
      </c>
      <c r="AA378" s="224" t="str">
        <f t="shared" si="88"/>
        <v>TX-Yes</v>
      </c>
      <c r="AB378" s="225" t="str">
        <f t="shared" si="81"/>
        <v>TX-Rep</v>
      </c>
      <c r="AC378" s="422" t="str">
        <f>C378&amp;"-"&amp;IF(Y378&gt;Instructions!$H$14,Instructions!$I$14,IF(Y378&gt;Instructions!$H$15,Instructions!$I$15,IF(Y378&gt;Instructions!$H$16,Instructions!$I$16,IF(Y378&gt;Instructions!$H$17,Instructions!$I$17,Instructions!$I$18))))</f>
        <v>TX-No contest</v>
      </c>
      <c r="AD378" s="226">
        <f t="shared" si="82"/>
        <v>0</v>
      </c>
      <c r="AE378" s="226">
        <f t="shared" si="83"/>
        <v>0</v>
      </c>
      <c r="AF378" s="227">
        <f t="shared" si="84"/>
        <v>11635</v>
      </c>
      <c r="AG378" s="341">
        <f t="shared" si="85"/>
        <v>11635</v>
      </c>
    </row>
    <row r="379" spans="1:34">
      <c r="A379" s="352" t="s">
        <v>106</v>
      </c>
      <c r="B379" s="427">
        <v>12</v>
      </c>
      <c r="C379" s="220" t="s">
        <v>42</v>
      </c>
      <c r="D379" s="379" t="s">
        <v>699</v>
      </c>
      <c r="E379" s="414" t="s">
        <v>373</v>
      </c>
      <c r="F379"/>
      <c r="G379"/>
      <c r="H379"/>
      <c r="I379"/>
      <c r="J379" t="str">
        <f t="shared" si="75"/>
        <v>TX-Yes</v>
      </c>
      <c r="K379" t="str">
        <f t="shared" si="76"/>
        <v>TX-Yes</v>
      </c>
      <c r="L379" s="415"/>
      <c r="M379" s="415"/>
      <c r="N379" s="255">
        <v>1996</v>
      </c>
      <c r="O379" s="416">
        <v>41757</v>
      </c>
      <c r="P379" s="416"/>
      <c r="Q379" s="416">
        <v>113186</v>
      </c>
      <c r="R379" s="416"/>
      <c r="S379" s="416">
        <v>3787</v>
      </c>
      <c r="T379" s="353">
        <f t="shared" si="77"/>
        <v>158730</v>
      </c>
      <c r="U379" s="228"/>
      <c r="V379" s="221">
        <f t="shared" si="78"/>
        <v>113186</v>
      </c>
      <c r="W379" s="388">
        <f t="shared" si="87"/>
        <v>41757</v>
      </c>
      <c r="X379" s="222">
        <f t="shared" si="79"/>
        <v>0.46100178775420636</v>
      </c>
      <c r="Y379" s="421">
        <f t="shared" si="86"/>
        <v>0.45000315000315</v>
      </c>
      <c r="Z379" s="223">
        <f t="shared" si="80"/>
        <v>0.71307251307251307</v>
      </c>
      <c r="AA379" s="224" t="str">
        <f t="shared" si="88"/>
        <v>TX-No</v>
      </c>
      <c r="AB379" s="225" t="str">
        <f t="shared" si="81"/>
        <v>TX-Rep</v>
      </c>
      <c r="AC379" s="422" t="str">
        <f>C379&amp;"-"&amp;IF(Y379&gt;Instructions!$H$14,Instructions!$I$14,IF(Y379&gt;Instructions!$H$15,Instructions!$I$15,IF(Y379&gt;Instructions!$H$16,Instructions!$I$16,IF(Y379&gt;Instructions!$H$17,Instructions!$I$17,Instructions!$I$18))))</f>
        <v>TX-No contest</v>
      </c>
      <c r="AD379" s="226">
        <f t="shared" si="82"/>
        <v>41757</v>
      </c>
      <c r="AE379" s="226">
        <f t="shared" si="83"/>
        <v>0</v>
      </c>
      <c r="AF379" s="227">
        <f t="shared" si="84"/>
        <v>3787</v>
      </c>
      <c r="AG379" s="341">
        <f t="shared" si="85"/>
        <v>45544</v>
      </c>
      <c r="AH379" s="380"/>
    </row>
    <row r="380" spans="1:34">
      <c r="A380" s="352" t="s">
        <v>106</v>
      </c>
      <c r="B380" s="426">
        <v>13</v>
      </c>
      <c r="C380" s="220" t="s">
        <v>42</v>
      </c>
      <c r="D380" s="379" t="s">
        <v>700</v>
      </c>
      <c r="E380"/>
      <c r="F380"/>
      <c r="G380"/>
      <c r="H380"/>
      <c r="I380"/>
      <c r="J380" t="str">
        <f t="shared" si="75"/>
        <v>TX-Yes</v>
      </c>
      <c r="K380" t="str">
        <f t="shared" si="76"/>
        <v>TX-Yes</v>
      </c>
      <c r="L380" s="352"/>
      <c r="M380" s="352"/>
      <c r="N380" s="255">
        <v>1994</v>
      </c>
      <c r="O380" s="416">
        <v>16822</v>
      </c>
      <c r="P380" s="416"/>
      <c r="Q380" s="416">
        <v>110842</v>
      </c>
      <c r="R380" s="416"/>
      <c r="S380" s="416">
        <v>3787</v>
      </c>
      <c r="T380" s="353">
        <f t="shared" si="77"/>
        <v>131451</v>
      </c>
      <c r="U380" s="228"/>
      <c r="V380" s="221">
        <f t="shared" si="78"/>
        <v>110842</v>
      </c>
      <c r="W380" s="388">
        <f t="shared" si="87"/>
        <v>16822</v>
      </c>
      <c r="X380" s="222">
        <f t="shared" si="79"/>
        <v>0.73646446923173325</v>
      </c>
      <c r="Y380" s="421">
        <f t="shared" si="86"/>
        <v>0.7152475066754912</v>
      </c>
      <c r="Z380" s="223">
        <f t="shared" si="80"/>
        <v>0.84321914629785999</v>
      </c>
      <c r="AA380" s="224" t="str">
        <f t="shared" si="88"/>
        <v>TX-No</v>
      </c>
      <c r="AB380" s="225" t="str">
        <f t="shared" si="81"/>
        <v>TX-Rep</v>
      </c>
      <c r="AC380" s="422" t="str">
        <f>C380&amp;"-"&amp;IF(Y380&gt;Instructions!$H$14,Instructions!$I$14,IF(Y380&gt;Instructions!$H$15,Instructions!$I$15,IF(Y380&gt;Instructions!$H$16,Instructions!$I$16,IF(Y380&gt;Instructions!$H$17,Instructions!$I$17,Instructions!$I$18))))</f>
        <v>TX-No contest</v>
      </c>
      <c r="AD380" s="226">
        <f t="shared" si="82"/>
        <v>16822</v>
      </c>
      <c r="AE380" s="226">
        <f t="shared" si="83"/>
        <v>0</v>
      </c>
      <c r="AF380" s="227">
        <f t="shared" si="84"/>
        <v>3787</v>
      </c>
      <c r="AG380" s="341">
        <f t="shared" si="85"/>
        <v>20609</v>
      </c>
    </row>
    <row r="381" spans="1:34">
      <c r="A381" s="352" t="s">
        <v>106</v>
      </c>
      <c r="B381" s="427">
        <v>14</v>
      </c>
      <c r="C381" s="220" t="s">
        <v>42</v>
      </c>
      <c r="D381" s="379" t="s">
        <v>701</v>
      </c>
      <c r="E381"/>
      <c r="F381"/>
      <c r="G381" s="379"/>
      <c r="H381"/>
      <c r="I381"/>
      <c r="J381" t="str">
        <f t="shared" si="75"/>
        <v>TX-Yes</v>
      </c>
      <c r="K381" t="str">
        <f t="shared" si="76"/>
        <v>TX-Yes</v>
      </c>
      <c r="L381" s="415"/>
      <c r="M381" s="415"/>
      <c r="N381" s="255">
        <v>2012</v>
      </c>
      <c r="O381" s="416">
        <v>52545</v>
      </c>
      <c r="P381" s="416"/>
      <c r="Q381" s="416">
        <v>90116</v>
      </c>
      <c r="R381" s="416"/>
      <c r="S381" s="416">
        <v>3037</v>
      </c>
      <c r="T381" s="353">
        <f t="shared" si="77"/>
        <v>145698</v>
      </c>
      <c r="U381" s="228"/>
      <c r="V381" s="221">
        <f t="shared" si="78"/>
        <v>90116</v>
      </c>
      <c r="W381" s="388">
        <f t="shared" si="87"/>
        <v>52545</v>
      </c>
      <c r="X381" s="222">
        <f t="shared" si="79"/>
        <v>0.26335859134591794</v>
      </c>
      <c r="Y381" s="421">
        <f t="shared" si="86"/>
        <v>0.25786901673324275</v>
      </c>
      <c r="Z381" s="223">
        <f t="shared" si="80"/>
        <v>0.61851226509629509</v>
      </c>
      <c r="AA381" s="224" t="str">
        <f t="shared" si="88"/>
        <v>TX-No</v>
      </c>
      <c r="AB381" s="225" t="str">
        <f t="shared" si="81"/>
        <v>TX-Rep</v>
      </c>
      <c r="AC381" s="422" t="str">
        <f>C381&amp;"-"&amp;IF(Y381&gt;Instructions!$H$14,Instructions!$I$14,IF(Y381&gt;Instructions!$H$15,Instructions!$I$15,IF(Y381&gt;Instructions!$H$16,Instructions!$I$16,IF(Y381&gt;Instructions!$H$17,Instructions!$I$17,Instructions!$I$18))))</f>
        <v>TX-Landslide</v>
      </c>
      <c r="AD381" s="226">
        <f t="shared" si="82"/>
        <v>52545</v>
      </c>
      <c r="AE381" s="226">
        <f t="shared" si="83"/>
        <v>0</v>
      </c>
      <c r="AF381" s="227">
        <f t="shared" si="84"/>
        <v>3037</v>
      </c>
      <c r="AG381" s="341">
        <f t="shared" si="85"/>
        <v>55582</v>
      </c>
    </row>
    <row r="382" spans="1:34">
      <c r="A382" s="352" t="s">
        <v>106</v>
      </c>
      <c r="B382" s="427">
        <v>15</v>
      </c>
      <c r="C382" s="220" t="s">
        <v>42</v>
      </c>
      <c r="D382" s="379" t="s">
        <v>702</v>
      </c>
      <c r="E382"/>
      <c r="F382" s="381"/>
      <c r="G382" s="414" t="s">
        <v>373</v>
      </c>
      <c r="H382"/>
      <c r="I382"/>
      <c r="J382" t="str">
        <f t="shared" si="75"/>
        <v>TX-Yes</v>
      </c>
      <c r="K382" t="str">
        <f t="shared" si="76"/>
        <v>TX-Yes</v>
      </c>
      <c r="L382" s="354"/>
      <c r="M382" s="354"/>
      <c r="N382" s="255">
        <v>1996</v>
      </c>
      <c r="O382" s="416">
        <v>48708</v>
      </c>
      <c r="P382" s="416"/>
      <c r="Q382" s="416">
        <v>39016</v>
      </c>
      <c r="R382" s="416"/>
      <c r="S382" s="416">
        <v>2460</v>
      </c>
      <c r="T382" s="353">
        <f t="shared" si="77"/>
        <v>90184</v>
      </c>
      <c r="U382" s="228"/>
      <c r="V382" s="221">
        <f t="shared" si="78"/>
        <v>48708</v>
      </c>
      <c r="W382" s="388">
        <f t="shared" si="87"/>
        <v>39016</v>
      </c>
      <c r="X382" s="222">
        <f t="shared" si="79"/>
        <v>0.11048287811773289</v>
      </c>
      <c r="Y382" s="421">
        <f t="shared" si="86"/>
        <v>0.10746917413288393</v>
      </c>
      <c r="Z382" s="223">
        <f t="shared" si="80"/>
        <v>0.54009580413377101</v>
      </c>
      <c r="AA382" s="224" t="str">
        <f t="shared" si="88"/>
        <v>TX-No</v>
      </c>
      <c r="AB382" s="225" t="str">
        <f t="shared" si="81"/>
        <v>TX-Dem</v>
      </c>
      <c r="AC382" s="422" t="str">
        <f>C382&amp;"-"&amp;IF(Y382&gt;Instructions!$H$14,Instructions!$I$14,IF(Y382&gt;Instructions!$H$15,Instructions!$I$15,IF(Y382&gt;Instructions!$H$16,Instructions!$I$16,IF(Y382&gt;Instructions!$H$17,Instructions!$I$17,Instructions!$I$18))))</f>
        <v>TX-Opportunity</v>
      </c>
      <c r="AD382" s="226">
        <f t="shared" si="82"/>
        <v>0</v>
      </c>
      <c r="AE382" s="226">
        <f t="shared" si="83"/>
        <v>39016</v>
      </c>
      <c r="AF382" s="227">
        <f t="shared" si="84"/>
        <v>2460</v>
      </c>
      <c r="AG382" s="341">
        <f t="shared" si="85"/>
        <v>41476</v>
      </c>
    </row>
    <row r="383" spans="1:34">
      <c r="A383" s="352" t="s">
        <v>106</v>
      </c>
      <c r="B383" s="427">
        <v>16</v>
      </c>
      <c r="C383" s="220" t="s">
        <v>42</v>
      </c>
      <c r="D383" s="379" t="s">
        <v>703</v>
      </c>
      <c r="E383"/>
      <c r="F383"/>
      <c r="G383"/>
      <c r="H383"/>
      <c r="I383"/>
      <c r="J383" t="str">
        <f t="shared" si="75"/>
        <v>TX-Yes</v>
      </c>
      <c r="K383" t="str">
        <f t="shared" si="76"/>
        <v>TX-Yes</v>
      </c>
      <c r="L383" s="417"/>
      <c r="M383" s="417"/>
      <c r="N383" s="255">
        <v>2012</v>
      </c>
      <c r="O383" s="416">
        <v>49338</v>
      </c>
      <c r="P383" s="416"/>
      <c r="Q383" s="416">
        <v>21324</v>
      </c>
      <c r="R383" s="416"/>
      <c r="S383" s="416">
        <v>2443</v>
      </c>
      <c r="T383" s="353">
        <f t="shared" si="77"/>
        <v>73105</v>
      </c>
      <c r="U383" s="228"/>
      <c r="V383" s="221">
        <f t="shared" si="78"/>
        <v>49338</v>
      </c>
      <c r="W383" s="388">
        <f t="shared" si="87"/>
        <v>21324</v>
      </c>
      <c r="X383" s="222">
        <f t="shared" si="79"/>
        <v>0.39645070900908552</v>
      </c>
      <c r="Y383" s="421">
        <f t="shared" si="86"/>
        <v>0.3832022433486082</v>
      </c>
      <c r="Z383" s="223">
        <f t="shared" si="80"/>
        <v>0.67489227822994324</v>
      </c>
      <c r="AA383" s="224" t="str">
        <f t="shared" si="88"/>
        <v>TX-No</v>
      </c>
      <c r="AB383" s="225" t="str">
        <f t="shared" si="81"/>
        <v>TX-Dem</v>
      </c>
      <c r="AC383" s="422" t="str">
        <f>C383&amp;"-"&amp;IF(Y383&gt;Instructions!$H$14,Instructions!$I$14,IF(Y383&gt;Instructions!$H$15,Instructions!$I$15,IF(Y383&gt;Instructions!$H$16,Instructions!$I$16,IF(Y383&gt;Instructions!$H$17,Instructions!$I$17,Instructions!$I$18))))</f>
        <v>TX-Landslide</v>
      </c>
      <c r="AD383" s="226">
        <f t="shared" si="82"/>
        <v>0</v>
      </c>
      <c r="AE383" s="226">
        <f t="shared" si="83"/>
        <v>21324</v>
      </c>
      <c r="AF383" s="227">
        <f t="shared" si="84"/>
        <v>2443</v>
      </c>
      <c r="AG383" s="341">
        <f t="shared" si="85"/>
        <v>23767</v>
      </c>
    </row>
    <row r="384" spans="1:34">
      <c r="A384" s="352" t="s">
        <v>106</v>
      </c>
      <c r="B384" s="427">
        <v>17</v>
      </c>
      <c r="C384" s="220" t="s">
        <v>42</v>
      </c>
      <c r="D384" s="379" t="s">
        <v>704</v>
      </c>
      <c r="E384"/>
      <c r="F384"/>
      <c r="G384" s="414" t="s">
        <v>373</v>
      </c>
      <c r="H384"/>
      <c r="I384"/>
      <c r="J384" t="str">
        <f t="shared" si="75"/>
        <v>TX-Yes</v>
      </c>
      <c r="K384" t="str">
        <f t="shared" si="76"/>
        <v>TX-Yes</v>
      </c>
      <c r="L384" s="415"/>
      <c r="M384" s="415"/>
      <c r="N384" s="255">
        <v>2010</v>
      </c>
      <c r="O384" s="416">
        <v>43049</v>
      </c>
      <c r="P384" s="416"/>
      <c r="Q384" s="416">
        <v>85807</v>
      </c>
      <c r="R384" s="416"/>
      <c r="S384" s="416">
        <v>4009</v>
      </c>
      <c r="T384" s="353">
        <f t="shared" si="77"/>
        <v>132865</v>
      </c>
      <c r="U384" s="228"/>
      <c r="V384" s="221">
        <f t="shared" si="78"/>
        <v>85807</v>
      </c>
      <c r="W384" s="388">
        <f t="shared" si="87"/>
        <v>43049</v>
      </c>
      <c r="X384" s="222">
        <f t="shared" si="79"/>
        <v>0.33182777674303099</v>
      </c>
      <c r="Y384" s="421">
        <f t="shared" si="86"/>
        <v>0.32181537650999137</v>
      </c>
      <c r="Z384" s="223">
        <f t="shared" si="80"/>
        <v>0.64582094607308171</v>
      </c>
      <c r="AA384" s="224" t="str">
        <f t="shared" si="88"/>
        <v>TX-No</v>
      </c>
      <c r="AB384" s="225" t="str">
        <f t="shared" si="81"/>
        <v>TX-Rep</v>
      </c>
      <c r="AC384" s="422" t="str">
        <f>C384&amp;"-"&amp;IF(Y384&gt;Instructions!$H$14,Instructions!$I$14,IF(Y384&gt;Instructions!$H$15,Instructions!$I$15,IF(Y384&gt;Instructions!$H$16,Instructions!$I$16,IF(Y384&gt;Instructions!$H$17,Instructions!$I$17,Instructions!$I$18))))</f>
        <v>TX-Landslide</v>
      </c>
      <c r="AD384" s="226">
        <f t="shared" si="82"/>
        <v>43049</v>
      </c>
      <c r="AE384" s="226">
        <f t="shared" si="83"/>
        <v>0</v>
      </c>
      <c r="AF384" s="227">
        <f t="shared" si="84"/>
        <v>4009</v>
      </c>
      <c r="AG384" s="341">
        <f t="shared" si="85"/>
        <v>47058</v>
      </c>
    </row>
    <row r="385" spans="1:34">
      <c r="A385" s="352" t="s">
        <v>106</v>
      </c>
      <c r="B385" s="427">
        <v>18</v>
      </c>
      <c r="C385" s="220" t="s">
        <v>42</v>
      </c>
      <c r="D385" s="379" t="s">
        <v>705</v>
      </c>
      <c r="E385" s="414" t="s">
        <v>373</v>
      </c>
      <c r="F385" s="414" t="s">
        <v>373</v>
      </c>
      <c r="G385"/>
      <c r="H385"/>
      <c r="I385"/>
      <c r="J385" t="str">
        <f t="shared" si="75"/>
        <v>TX-Yes</v>
      </c>
      <c r="K385" t="str">
        <f t="shared" si="76"/>
        <v>TX-Yes</v>
      </c>
      <c r="L385" s="417"/>
      <c r="M385" s="417"/>
      <c r="N385" s="255">
        <v>1994</v>
      </c>
      <c r="O385" s="416">
        <v>76097</v>
      </c>
      <c r="P385" s="416"/>
      <c r="Q385" s="416">
        <v>26249</v>
      </c>
      <c r="R385" s="416"/>
      <c r="S385" s="416">
        <v>3664</v>
      </c>
      <c r="T385" s="353">
        <f t="shared" si="77"/>
        <v>106010</v>
      </c>
      <c r="U385" s="228"/>
      <c r="V385" s="221">
        <f t="shared" si="78"/>
        <v>76097</v>
      </c>
      <c r="W385" s="388">
        <f t="shared" si="87"/>
        <v>26249</v>
      </c>
      <c r="X385" s="222">
        <f t="shared" si="79"/>
        <v>0.48705371973501649</v>
      </c>
      <c r="Y385" s="421">
        <f t="shared" si="86"/>
        <v>0.47021979058579377</v>
      </c>
      <c r="Z385" s="223">
        <f t="shared" si="80"/>
        <v>0.71782850674464671</v>
      </c>
      <c r="AA385" s="224" t="str">
        <f t="shared" si="88"/>
        <v>TX-No</v>
      </c>
      <c r="AB385" s="225" t="str">
        <f t="shared" si="81"/>
        <v>TX-Dem</v>
      </c>
      <c r="AC385" s="422" t="str">
        <f>C385&amp;"-"&amp;IF(Y385&gt;Instructions!$H$14,Instructions!$I$14,IF(Y385&gt;Instructions!$H$15,Instructions!$I$15,IF(Y385&gt;Instructions!$H$16,Instructions!$I$16,IF(Y385&gt;Instructions!$H$17,Instructions!$I$17,Instructions!$I$18))))</f>
        <v>TX-No contest</v>
      </c>
      <c r="AD385" s="226">
        <f t="shared" si="82"/>
        <v>0</v>
      </c>
      <c r="AE385" s="226">
        <f t="shared" si="83"/>
        <v>26249</v>
      </c>
      <c r="AF385" s="227">
        <f t="shared" si="84"/>
        <v>3664</v>
      </c>
      <c r="AG385" s="341">
        <f t="shared" si="85"/>
        <v>29913</v>
      </c>
    </row>
    <row r="386" spans="1:34">
      <c r="A386" s="352" t="s">
        <v>106</v>
      </c>
      <c r="B386" s="427">
        <v>19</v>
      </c>
      <c r="C386" s="220" t="s">
        <v>42</v>
      </c>
      <c r="D386" s="379" t="s">
        <v>706</v>
      </c>
      <c r="E386"/>
      <c r="F386"/>
      <c r="G386"/>
      <c r="H386"/>
      <c r="I386"/>
      <c r="J386" t="str">
        <f t="shared" si="75"/>
        <v>TX-Yes</v>
      </c>
      <c r="K386" t="str">
        <f t="shared" si="76"/>
        <v>TX-Yes</v>
      </c>
      <c r="L386" s="415"/>
      <c r="M386" s="415"/>
      <c r="N386" s="255">
        <v>2003</v>
      </c>
      <c r="O386" s="416">
        <v>21325</v>
      </c>
      <c r="P386" s="416"/>
      <c r="Q386" s="416">
        <v>89326</v>
      </c>
      <c r="R386" s="416"/>
      <c r="S386" s="416">
        <v>5174</v>
      </c>
      <c r="T386" s="353">
        <f t="shared" si="77"/>
        <v>115825</v>
      </c>
      <c r="U386" s="228"/>
      <c r="V386" s="221">
        <f t="shared" si="78"/>
        <v>89326</v>
      </c>
      <c r="W386" s="388">
        <f t="shared" si="87"/>
        <v>21325</v>
      </c>
      <c r="X386" s="222">
        <f t="shared" si="79"/>
        <v>0.61455386756558905</v>
      </c>
      <c r="Y386" s="421">
        <f t="shared" si="86"/>
        <v>0.58710123030433836</v>
      </c>
      <c r="Z386" s="223">
        <f t="shared" si="80"/>
        <v>0.77121519533779403</v>
      </c>
      <c r="AA386" s="224" t="str">
        <f t="shared" si="88"/>
        <v>TX-No</v>
      </c>
      <c r="AB386" s="225" t="str">
        <f t="shared" si="81"/>
        <v>TX-Rep</v>
      </c>
      <c r="AC386" s="422" t="str">
        <f>C386&amp;"-"&amp;IF(Y386&gt;Instructions!$H$14,Instructions!$I$14,IF(Y386&gt;Instructions!$H$15,Instructions!$I$15,IF(Y386&gt;Instructions!$H$16,Instructions!$I$16,IF(Y386&gt;Instructions!$H$17,Instructions!$I$17,Instructions!$I$18))))</f>
        <v>TX-No contest</v>
      </c>
      <c r="AD386" s="226">
        <f t="shared" si="82"/>
        <v>21325</v>
      </c>
      <c r="AE386" s="226">
        <f t="shared" si="83"/>
        <v>0</v>
      </c>
      <c r="AF386" s="227">
        <f t="shared" si="84"/>
        <v>5174</v>
      </c>
      <c r="AG386" s="341">
        <f t="shared" si="85"/>
        <v>26499</v>
      </c>
    </row>
    <row r="387" spans="1:34">
      <c r="A387" s="352" t="s">
        <v>106</v>
      </c>
      <c r="B387" s="427">
        <v>20</v>
      </c>
      <c r="C387" s="220" t="s">
        <v>42</v>
      </c>
      <c r="D387" s="379" t="s">
        <v>707</v>
      </c>
      <c r="E387"/>
      <c r="F387"/>
      <c r="G387" s="414" t="s">
        <v>373</v>
      </c>
      <c r="H387"/>
      <c r="I387"/>
      <c r="J387" t="str">
        <f t="shared" si="75"/>
        <v>TX-Yes</v>
      </c>
      <c r="K387" t="str">
        <f t="shared" si="76"/>
        <v>TX-Yes</v>
      </c>
      <c r="L387" s="417"/>
      <c r="M387" s="417"/>
      <c r="N387" s="255">
        <v>2012</v>
      </c>
      <c r="O387" s="416">
        <v>66554</v>
      </c>
      <c r="P387" s="416"/>
      <c r="Q387" s="416">
        <v>0</v>
      </c>
      <c r="R387" s="416"/>
      <c r="S387" s="416">
        <v>21410</v>
      </c>
      <c r="T387" s="353">
        <f t="shared" si="77"/>
        <v>87964</v>
      </c>
      <c r="U387" s="228"/>
      <c r="V387" s="221">
        <f t="shared" si="78"/>
        <v>66554</v>
      </c>
      <c r="W387" s="388">
        <f t="shared" si="87"/>
        <v>21410</v>
      </c>
      <c r="X387" s="222">
        <f t="shared" si="79"/>
        <v>1</v>
      </c>
      <c r="Y387" s="421">
        <f t="shared" si="86"/>
        <v>0.5132099495248057</v>
      </c>
      <c r="Z387" s="223">
        <f t="shared" si="80"/>
        <v>0.75660497476240285</v>
      </c>
      <c r="AA387" s="224" t="str">
        <f t="shared" si="88"/>
        <v>TX-Yes</v>
      </c>
      <c r="AB387" s="225" t="str">
        <f t="shared" si="81"/>
        <v>TX-Dem</v>
      </c>
      <c r="AC387" s="422" t="str">
        <f>C387&amp;"-"&amp;IF(Y387&gt;Instructions!$H$14,Instructions!$I$14,IF(Y387&gt;Instructions!$H$15,Instructions!$I$15,IF(Y387&gt;Instructions!$H$16,Instructions!$I$16,IF(Y387&gt;Instructions!$H$17,Instructions!$I$17,Instructions!$I$18))))</f>
        <v>TX-No contest</v>
      </c>
      <c r="AD387" s="226">
        <f t="shared" si="82"/>
        <v>0</v>
      </c>
      <c r="AE387" s="226">
        <f t="shared" si="83"/>
        <v>0</v>
      </c>
      <c r="AF387" s="227">
        <f t="shared" si="84"/>
        <v>21410</v>
      </c>
      <c r="AG387" s="341">
        <f t="shared" si="85"/>
        <v>21410</v>
      </c>
      <c r="AH387" s="380"/>
    </row>
    <row r="388" spans="1:34">
      <c r="A388" s="352" t="s">
        <v>106</v>
      </c>
      <c r="B388" s="427">
        <v>21</v>
      </c>
      <c r="C388" s="220" t="s">
        <v>42</v>
      </c>
      <c r="D388" s="379" t="s">
        <v>708</v>
      </c>
      <c r="E388"/>
      <c r="F388"/>
      <c r="G388" s="381"/>
      <c r="H388"/>
      <c r="I388"/>
      <c r="J388" t="str">
        <f t="shared" si="75"/>
        <v>TX-Yes</v>
      </c>
      <c r="K388" t="str">
        <f t="shared" si="76"/>
        <v>TX-Yes</v>
      </c>
      <c r="L388" s="352"/>
      <c r="M388" s="352"/>
      <c r="N388" s="255">
        <v>1986</v>
      </c>
      <c r="O388" s="416">
        <v>0</v>
      </c>
      <c r="P388" s="416"/>
      <c r="Q388" s="416">
        <v>135660</v>
      </c>
      <c r="R388" s="416"/>
      <c r="S388" s="416">
        <v>53336</v>
      </c>
      <c r="T388" s="353">
        <f t="shared" si="77"/>
        <v>188996</v>
      </c>
      <c r="U388" s="396"/>
      <c r="V388" s="221">
        <f t="shared" si="78"/>
        <v>135660</v>
      </c>
      <c r="W388" s="388">
        <v>27831</v>
      </c>
      <c r="X388" s="222">
        <f t="shared" si="79"/>
        <v>1</v>
      </c>
      <c r="Y388" s="421">
        <f t="shared" si="86"/>
        <v>0.57053588435734093</v>
      </c>
      <c r="Z388" s="223">
        <f t="shared" si="80"/>
        <v>0.71779296916336854</v>
      </c>
      <c r="AA388" s="224" t="str">
        <f t="shared" si="88"/>
        <v>TX-Yes</v>
      </c>
      <c r="AB388" s="225" t="str">
        <f t="shared" si="81"/>
        <v>TX-Rep</v>
      </c>
      <c r="AC388" s="422" t="str">
        <f>C388&amp;"-"&amp;IF(Y388&gt;Instructions!$H$14,Instructions!$I$14,IF(Y388&gt;Instructions!$H$15,Instructions!$I$15,IF(Y388&gt;Instructions!$H$16,Instructions!$I$16,IF(Y388&gt;Instructions!$H$17,Instructions!$I$17,Instructions!$I$18))))</f>
        <v>TX-No contest</v>
      </c>
      <c r="AD388" s="226">
        <f t="shared" si="82"/>
        <v>0</v>
      </c>
      <c r="AE388" s="226">
        <f t="shared" si="83"/>
        <v>0</v>
      </c>
      <c r="AF388" s="227">
        <f t="shared" si="84"/>
        <v>53336</v>
      </c>
      <c r="AG388" s="341">
        <f t="shared" si="85"/>
        <v>53336</v>
      </c>
    </row>
    <row r="389" spans="1:34">
      <c r="A389" s="352" t="s">
        <v>106</v>
      </c>
      <c r="B389" s="427">
        <v>22</v>
      </c>
      <c r="C389" s="220" t="s">
        <v>42</v>
      </c>
      <c r="D389" s="379" t="s">
        <v>709</v>
      </c>
      <c r="E389"/>
      <c r="F389"/>
      <c r="G389" s="381"/>
      <c r="H389"/>
      <c r="I389"/>
      <c r="J389" t="str">
        <f t="shared" si="75"/>
        <v>TX-Yes</v>
      </c>
      <c r="K389" t="str">
        <f t="shared" si="76"/>
        <v>TX-Yes</v>
      </c>
      <c r="L389" s="415"/>
      <c r="M389" s="415"/>
      <c r="N389" s="255">
        <v>2008</v>
      </c>
      <c r="O389" s="416">
        <v>47844</v>
      </c>
      <c r="P389" s="416"/>
      <c r="Q389" s="416">
        <v>100861</v>
      </c>
      <c r="R389" s="416"/>
      <c r="S389" s="416">
        <v>2861</v>
      </c>
      <c r="T389" s="353">
        <f t="shared" si="77"/>
        <v>151566</v>
      </c>
      <c r="U389" s="228"/>
      <c r="V389" s="221">
        <f t="shared" si="78"/>
        <v>100861</v>
      </c>
      <c r="W389" s="388">
        <f t="shared" si="87"/>
        <v>47844</v>
      </c>
      <c r="X389" s="222">
        <f t="shared" si="79"/>
        <v>0.35652466292323726</v>
      </c>
      <c r="Y389" s="421">
        <f t="shared" si="86"/>
        <v>0.34979480886214587</v>
      </c>
      <c r="Z389" s="400">
        <f t="shared" si="80"/>
        <v>0.66545927186836096</v>
      </c>
      <c r="AA389" s="401" t="str">
        <f t="shared" si="88"/>
        <v>TX-No</v>
      </c>
      <c r="AB389" s="225" t="str">
        <f t="shared" si="81"/>
        <v>TX-Rep</v>
      </c>
      <c r="AC389" s="422" t="str">
        <f>C389&amp;"-"&amp;IF(Y389&gt;Instructions!$H$14,Instructions!$I$14,IF(Y389&gt;Instructions!$H$15,Instructions!$I$15,IF(Y389&gt;Instructions!$H$16,Instructions!$I$16,IF(Y389&gt;Instructions!$H$17,Instructions!$I$17,Instructions!$I$18))))</f>
        <v>TX-Landslide</v>
      </c>
      <c r="AD389" s="226">
        <f t="shared" si="82"/>
        <v>47844</v>
      </c>
      <c r="AE389" s="226">
        <f t="shared" si="83"/>
        <v>0</v>
      </c>
      <c r="AF389" s="227">
        <f t="shared" si="84"/>
        <v>2861</v>
      </c>
      <c r="AG389" s="341">
        <f t="shared" si="85"/>
        <v>50705</v>
      </c>
      <c r="AH389" s="380"/>
    </row>
    <row r="390" spans="1:34">
      <c r="A390" s="352" t="s">
        <v>106</v>
      </c>
      <c r="B390" s="427">
        <v>23</v>
      </c>
      <c r="C390" s="220" t="s">
        <v>42</v>
      </c>
      <c r="D390" s="379" t="s">
        <v>818</v>
      </c>
      <c r="E390" s="379"/>
      <c r="F390" s="414" t="s">
        <v>373</v>
      </c>
      <c r="H390"/>
      <c r="I390"/>
      <c r="J390" t="str">
        <f t="shared" si="75"/>
        <v>TX-Yes</v>
      </c>
      <c r="K390" t="str">
        <f t="shared" si="76"/>
        <v>TX-No</v>
      </c>
      <c r="L390" s="354">
        <v>1</v>
      </c>
      <c r="M390" s="354">
        <v>1</v>
      </c>
      <c r="N390" s="255">
        <v>2014</v>
      </c>
      <c r="O390" s="416">
        <v>55037</v>
      </c>
      <c r="P390" s="416"/>
      <c r="Q390" s="416">
        <v>57459</v>
      </c>
      <c r="R390" s="416"/>
      <c r="S390" s="416">
        <v>2933</v>
      </c>
      <c r="T390" s="353">
        <f t="shared" si="77"/>
        <v>115429</v>
      </c>
      <c r="U390" s="228"/>
      <c r="V390" s="221">
        <f t="shared" si="78"/>
        <v>57459</v>
      </c>
      <c r="W390" s="388">
        <f t="shared" si="87"/>
        <v>55037</v>
      </c>
      <c r="X390" s="222">
        <f t="shared" si="79"/>
        <v>2.1529654387711563E-2</v>
      </c>
      <c r="Y390" s="421">
        <f t="shared" si="86"/>
        <v>2.0982595361650869E-2</v>
      </c>
      <c r="Z390" s="223">
        <f t="shared" si="80"/>
        <v>0.49778651811936342</v>
      </c>
      <c r="AA390" s="224" t="str">
        <f t="shared" si="88"/>
        <v>TX-No</v>
      </c>
      <c r="AB390" s="225" t="str">
        <f t="shared" si="81"/>
        <v>TX-Rep</v>
      </c>
      <c r="AC390" s="422" t="str">
        <f>C390&amp;"-"&amp;IF(Y390&gt;Instructions!$H$14,Instructions!$I$14,IF(Y390&gt;Instructions!$H$15,Instructions!$I$15,IF(Y390&gt;Instructions!$H$16,Instructions!$I$16,IF(Y390&gt;Instructions!$H$17,Instructions!$I$17,Instructions!$I$18))))</f>
        <v>TX-Tight</v>
      </c>
      <c r="AD390" s="226">
        <f t="shared" si="82"/>
        <v>55037</v>
      </c>
      <c r="AE390" s="226">
        <f t="shared" si="83"/>
        <v>0</v>
      </c>
      <c r="AF390" s="227">
        <f t="shared" si="84"/>
        <v>2933</v>
      </c>
      <c r="AG390" s="341">
        <f t="shared" si="85"/>
        <v>57970</v>
      </c>
    </row>
    <row r="391" spans="1:34">
      <c r="A391" s="352" t="s">
        <v>106</v>
      </c>
      <c r="B391" s="427">
        <v>24</v>
      </c>
      <c r="C391" s="220" t="s">
        <v>42</v>
      </c>
      <c r="D391" s="379" t="s">
        <v>710</v>
      </c>
      <c r="E391" s="414"/>
      <c r="F391" s="381"/>
      <c r="G391"/>
      <c r="H391"/>
      <c r="I391"/>
      <c r="J391" t="str">
        <f t="shared" ref="J391:J441" si="89">C391&amp;"-"&amp;IF(L391=1, "Yes", IF(L391="", "Yes", IF(L391=0, "No")))</f>
        <v>TX-Yes</v>
      </c>
      <c r="K391" t="str">
        <f t="shared" ref="K391:K441" si="90">C391&amp;"-"&amp;IF(L391=1, "No", IF(M391=1, "No", IF(L391="", "Yes", IF(L391=0, "No"))))</f>
        <v>TX-Yes</v>
      </c>
      <c r="L391" s="352"/>
      <c r="M391" s="352"/>
      <c r="N391" s="255">
        <v>2004</v>
      </c>
      <c r="O391" s="416">
        <v>46548</v>
      </c>
      <c r="P391" s="416"/>
      <c r="Q391" s="416">
        <v>93712</v>
      </c>
      <c r="R391" s="416"/>
      <c r="S391" s="416">
        <v>3813</v>
      </c>
      <c r="T391" s="353">
        <f t="shared" ref="T391:T442" si="91">O391+Q391+P391+R391+S391</f>
        <v>144073</v>
      </c>
      <c r="U391" s="228"/>
      <c r="V391" s="221">
        <f t="shared" ref="V391:V441" si="92">MAX(O391:S391)</f>
        <v>93712</v>
      </c>
      <c r="W391" s="388">
        <f t="shared" si="87"/>
        <v>46548</v>
      </c>
      <c r="X391" s="222">
        <f t="shared" ref="X391:X441" si="93">ABS(O391-Q391)/(O391+Q391)</f>
        <v>0.33626122914587198</v>
      </c>
      <c r="Y391" s="421">
        <f t="shared" si="86"/>
        <v>0.32736182352002113</v>
      </c>
      <c r="Z391" s="223">
        <f t="shared" ref="Z391:Z442" si="94">V391/T391</f>
        <v>0.65044803675914298</v>
      </c>
      <c r="AA391" s="224" t="str">
        <f t="shared" si="88"/>
        <v>TX-No</v>
      </c>
      <c r="AB391" s="225" t="str">
        <f t="shared" ref="AB391:AB441" si="95">C391&amp;"-"&amp;IF(S391=MAX(O391:S391),"Other",IF(Q391&gt;O391,"Rep","Dem"))</f>
        <v>TX-Rep</v>
      </c>
      <c r="AC391" s="422" t="str">
        <f>C391&amp;"-"&amp;IF(Y391&gt;Instructions!$H$14,Instructions!$I$14,IF(Y391&gt;Instructions!$H$15,Instructions!$I$15,IF(Y391&gt;Instructions!$H$16,Instructions!$I$16,IF(Y391&gt;Instructions!$H$17,Instructions!$I$17,Instructions!$I$18))))</f>
        <v>TX-Landslide</v>
      </c>
      <c r="AD391" s="226">
        <f t="shared" ref="AD391:AD441" si="96">IF(V391=O391,0,O391)</f>
        <v>46548</v>
      </c>
      <c r="AE391" s="226">
        <f t="shared" ref="AE391:AE441" si="97">IF(V391=Q391,0,Q391)</f>
        <v>0</v>
      </c>
      <c r="AF391" s="227">
        <f t="shared" ref="AF391:AF408" si="98">IF(V391=S391,0,S391)</f>
        <v>3813</v>
      </c>
      <c r="AG391" s="341">
        <f t="shared" ref="AG391:AG441" si="99">SUM(AD391:AF391)</f>
        <v>50361</v>
      </c>
      <c r="AH391" s="380"/>
    </row>
    <row r="392" spans="1:34">
      <c r="A392" s="352" t="s">
        <v>106</v>
      </c>
      <c r="B392" s="427">
        <v>25</v>
      </c>
      <c r="C392" s="220" t="s">
        <v>42</v>
      </c>
      <c r="D392" s="379" t="s">
        <v>711</v>
      </c>
      <c r="E392"/>
      <c r="F392"/>
      <c r="G392"/>
      <c r="H392"/>
      <c r="I392"/>
      <c r="J392" t="str">
        <f t="shared" si="89"/>
        <v>TX-Yes</v>
      </c>
      <c r="K392" t="str">
        <f t="shared" si="90"/>
        <v>TX-Yes</v>
      </c>
      <c r="L392" s="415"/>
      <c r="M392" s="415"/>
      <c r="N392" s="255">
        <v>2012</v>
      </c>
      <c r="O392" s="416">
        <v>64463</v>
      </c>
      <c r="P392" s="416"/>
      <c r="Q392" s="416">
        <v>107120</v>
      </c>
      <c r="R392" s="416"/>
      <c r="S392" s="416">
        <v>6300</v>
      </c>
      <c r="T392" s="353">
        <f t="shared" si="91"/>
        <v>177883</v>
      </c>
      <c r="U392" s="228"/>
      <c r="V392" s="221">
        <f t="shared" si="92"/>
        <v>107120</v>
      </c>
      <c r="W392" s="388">
        <f t="shared" si="87"/>
        <v>64463</v>
      </c>
      <c r="X392" s="222">
        <f t="shared" si="93"/>
        <v>0.24860854513559036</v>
      </c>
      <c r="Y392" s="421">
        <f t="shared" ref="Y392:Y442" si="100">(V392/T392)-(W392/T392)</f>
        <v>0.23980369119027672</v>
      </c>
      <c r="Z392" s="223">
        <f t="shared" si="94"/>
        <v>0.6021935766768044</v>
      </c>
      <c r="AA392" s="224" t="str">
        <f t="shared" si="88"/>
        <v>TX-No</v>
      </c>
      <c r="AB392" s="225" t="str">
        <f t="shared" si="95"/>
        <v>TX-Rep</v>
      </c>
      <c r="AC392" s="422" t="str">
        <f>C392&amp;"-"&amp;IF(Y392&gt;Instructions!$H$14,Instructions!$I$14,IF(Y392&gt;Instructions!$H$15,Instructions!$I$15,IF(Y392&gt;Instructions!$H$16,Instructions!$I$16,IF(Y392&gt;Instructions!$H$17,Instructions!$I$17,Instructions!$I$18))))</f>
        <v>TX-Landslide</v>
      </c>
      <c r="AD392" s="226">
        <f t="shared" si="96"/>
        <v>64463</v>
      </c>
      <c r="AE392" s="226">
        <f t="shared" si="97"/>
        <v>0</v>
      </c>
      <c r="AF392" s="227">
        <f t="shared" si="98"/>
        <v>6300</v>
      </c>
      <c r="AG392" s="341">
        <f t="shared" si="99"/>
        <v>70763</v>
      </c>
      <c r="AH392" s="380"/>
    </row>
    <row r="393" spans="1:34">
      <c r="A393" s="352" t="s">
        <v>106</v>
      </c>
      <c r="B393" s="427">
        <v>26</v>
      </c>
      <c r="C393" s="220" t="s">
        <v>42</v>
      </c>
      <c r="D393" s="379" t="s">
        <v>712</v>
      </c>
      <c r="E393"/>
      <c r="F393"/>
      <c r="G393" s="414"/>
      <c r="H393"/>
      <c r="I393"/>
      <c r="J393" t="str">
        <f t="shared" si="89"/>
        <v>TX-Yes</v>
      </c>
      <c r="K393" t="str">
        <f t="shared" si="90"/>
        <v>TX-Yes</v>
      </c>
      <c r="L393" s="352"/>
      <c r="M393" s="352"/>
      <c r="N393" s="255">
        <v>2002</v>
      </c>
      <c r="O393" s="416">
        <v>0</v>
      </c>
      <c r="P393" s="416"/>
      <c r="Q393" s="416">
        <v>116944</v>
      </c>
      <c r="R393" s="416"/>
      <c r="S393" s="416">
        <v>24526</v>
      </c>
      <c r="T393" s="353">
        <f t="shared" si="91"/>
        <v>141470</v>
      </c>
      <c r="U393" s="228"/>
      <c r="V393" s="221">
        <f t="shared" si="92"/>
        <v>116944</v>
      </c>
      <c r="W393" s="388">
        <f t="shared" si="87"/>
        <v>24526</v>
      </c>
      <c r="X393" s="222">
        <f t="shared" si="93"/>
        <v>1</v>
      </c>
      <c r="Y393" s="421">
        <f t="shared" si="100"/>
        <v>0.65326924436276235</v>
      </c>
      <c r="Z393" s="400">
        <f t="shared" si="94"/>
        <v>0.82663462218138117</v>
      </c>
      <c r="AA393" s="401" t="str">
        <f t="shared" si="88"/>
        <v>TX-Yes</v>
      </c>
      <c r="AB393" s="225" t="str">
        <f t="shared" si="95"/>
        <v>TX-Rep</v>
      </c>
      <c r="AC393" s="422" t="str">
        <f>C393&amp;"-"&amp;IF(Y393&gt;Instructions!$H$14,Instructions!$I$14,IF(Y393&gt;Instructions!$H$15,Instructions!$I$15,IF(Y393&gt;Instructions!$H$16,Instructions!$I$16,IF(Y393&gt;Instructions!$H$17,Instructions!$I$17,Instructions!$I$18))))</f>
        <v>TX-No contest</v>
      </c>
      <c r="AD393" s="226">
        <f t="shared" si="96"/>
        <v>0</v>
      </c>
      <c r="AE393" s="226">
        <f t="shared" si="97"/>
        <v>0</v>
      </c>
      <c r="AF393" s="227">
        <f t="shared" si="98"/>
        <v>24526</v>
      </c>
      <c r="AG393" s="341">
        <f t="shared" si="99"/>
        <v>24526</v>
      </c>
    </row>
    <row r="394" spans="1:34">
      <c r="A394" s="352" t="s">
        <v>106</v>
      </c>
      <c r="B394" s="427">
        <v>27</v>
      </c>
      <c r="C394" s="220" t="s">
        <v>42</v>
      </c>
      <c r="D394" s="379" t="s">
        <v>713</v>
      </c>
      <c r="E394"/>
      <c r="F394"/>
      <c r="G394" s="379"/>
      <c r="H394"/>
      <c r="I394"/>
      <c r="J394" t="str">
        <f t="shared" si="89"/>
        <v>TX-Yes</v>
      </c>
      <c r="K394" t="str">
        <f t="shared" si="90"/>
        <v>TX-Yes</v>
      </c>
      <c r="L394" s="415"/>
      <c r="M394" s="415"/>
      <c r="N394" s="255">
        <v>2010</v>
      </c>
      <c r="O394" s="416">
        <v>44152</v>
      </c>
      <c r="P394" s="416"/>
      <c r="Q394" s="416">
        <v>83342</v>
      </c>
      <c r="R394" s="416"/>
      <c r="S394" s="416">
        <v>3553</v>
      </c>
      <c r="T394" s="353">
        <f t="shared" si="91"/>
        <v>131047</v>
      </c>
      <c r="U394" s="228"/>
      <c r="V394" s="221">
        <f t="shared" si="92"/>
        <v>83342</v>
      </c>
      <c r="W394" s="388">
        <f t="shared" si="87"/>
        <v>44152</v>
      </c>
      <c r="X394" s="222">
        <f t="shared" si="93"/>
        <v>0.30738701429086857</v>
      </c>
      <c r="Y394" s="421">
        <f t="shared" si="100"/>
        <v>0.29905301151495262</v>
      </c>
      <c r="Z394" s="223">
        <f t="shared" si="94"/>
        <v>0.6359703007317985</v>
      </c>
      <c r="AA394" s="224" t="str">
        <f t="shared" si="88"/>
        <v>TX-No</v>
      </c>
      <c r="AB394" s="225" t="str">
        <f t="shared" si="95"/>
        <v>TX-Rep</v>
      </c>
      <c r="AC394" s="422" t="str">
        <f>C394&amp;"-"&amp;IF(Y394&gt;Instructions!$H$14,Instructions!$I$14,IF(Y394&gt;Instructions!$H$15,Instructions!$I$15,IF(Y394&gt;Instructions!$H$16,Instructions!$I$16,IF(Y394&gt;Instructions!$H$17,Instructions!$I$17,Instructions!$I$18))))</f>
        <v>TX-Landslide</v>
      </c>
      <c r="AD394" s="226">
        <f t="shared" si="96"/>
        <v>44152</v>
      </c>
      <c r="AE394" s="226">
        <f t="shared" si="97"/>
        <v>0</v>
      </c>
      <c r="AF394" s="227">
        <f t="shared" si="98"/>
        <v>3553</v>
      </c>
      <c r="AG394" s="341">
        <f t="shared" si="99"/>
        <v>47705</v>
      </c>
    </row>
    <row r="395" spans="1:34">
      <c r="A395" s="352" t="s">
        <v>106</v>
      </c>
      <c r="B395" s="427">
        <v>28</v>
      </c>
      <c r="C395" s="220" t="s">
        <v>42</v>
      </c>
      <c r="D395" s="379" t="s">
        <v>714</v>
      </c>
      <c r="E395" s="379"/>
      <c r="F395"/>
      <c r="G395" s="414" t="s">
        <v>373</v>
      </c>
      <c r="H395"/>
      <c r="I395"/>
      <c r="J395" t="str">
        <f t="shared" si="89"/>
        <v>TX-Yes</v>
      </c>
      <c r="K395" t="str">
        <f t="shared" si="90"/>
        <v>TX-Yes</v>
      </c>
      <c r="L395" s="417"/>
      <c r="M395" s="417"/>
      <c r="N395" s="255">
        <v>2004</v>
      </c>
      <c r="O395" s="416">
        <v>62508</v>
      </c>
      <c r="P395" s="416"/>
      <c r="Q395" s="416">
        <v>0</v>
      </c>
      <c r="R395" s="416"/>
      <c r="S395" s="416">
        <v>13628</v>
      </c>
      <c r="T395" s="353">
        <f t="shared" si="91"/>
        <v>76136</v>
      </c>
      <c r="U395" s="228"/>
      <c r="V395" s="221">
        <f t="shared" si="92"/>
        <v>62508</v>
      </c>
      <c r="W395" s="388">
        <v>10153</v>
      </c>
      <c r="X395" s="222">
        <f t="shared" si="93"/>
        <v>1</v>
      </c>
      <c r="Y395" s="421">
        <f t="shared" si="100"/>
        <v>0.68765104549753076</v>
      </c>
      <c r="Z395" s="223">
        <f t="shared" si="94"/>
        <v>0.82100451823053489</v>
      </c>
      <c r="AA395" s="224" t="str">
        <f t="shared" si="88"/>
        <v>TX-Yes</v>
      </c>
      <c r="AB395" s="225" t="str">
        <f t="shared" si="95"/>
        <v>TX-Dem</v>
      </c>
      <c r="AC395" s="422" t="str">
        <f>C395&amp;"-"&amp;IF(Y395&gt;Instructions!$H$14,Instructions!$I$14,IF(Y395&gt;Instructions!$H$15,Instructions!$I$15,IF(Y395&gt;Instructions!$H$16,Instructions!$I$16,IF(Y395&gt;Instructions!$H$17,Instructions!$I$17,Instructions!$I$18))))</f>
        <v>TX-No contest</v>
      </c>
      <c r="AD395" s="226">
        <f t="shared" si="96"/>
        <v>0</v>
      </c>
      <c r="AE395" s="226">
        <f t="shared" si="97"/>
        <v>0</v>
      </c>
      <c r="AF395" s="227">
        <f t="shared" si="98"/>
        <v>13628</v>
      </c>
      <c r="AG395" s="341">
        <f t="shared" si="99"/>
        <v>13628</v>
      </c>
    </row>
    <row r="396" spans="1:34">
      <c r="A396" s="352" t="s">
        <v>106</v>
      </c>
      <c r="B396" s="427">
        <v>29</v>
      </c>
      <c r="C396" s="220" t="s">
        <v>42</v>
      </c>
      <c r="D396" s="379" t="s">
        <v>715</v>
      </c>
      <c r="E396"/>
      <c r="F396"/>
      <c r="G396" s="414"/>
      <c r="H396"/>
      <c r="I396"/>
      <c r="J396" t="str">
        <f t="shared" si="89"/>
        <v>TX-Yes</v>
      </c>
      <c r="K396" t="str">
        <f t="shared" si="90"/>
        <v>TX-Yes</v>
      </c>
      <c r="L396" s="417"/>
      <c r="M396" s="417"/>
      <c r="N396" s="255">
        <v>1992</v>
      </c>
      <c r="O396" s="416">
        <v>41321</v>
      </c>
      <c r="P396" s="416"/>
      <c r="Q396" s="416">
        <v>0</v>
      </c>
      <c r="R396" s="416"/>
      <c r="S396" s="416">
        <v>4822</v>
      </c>
      <c r="T396" s="353">
        <f t="shared" si="91"/>
        <v>46143</v>
      </c>
      <c r="U396" s="228"/>
      <c r="V396" s="221">
        <f t="shared" si="92"/>
        <v>41321</v>
      </c>
      <c r="W396" s="388">
        <f t="shared" si="87"/>
        <v>4822</v>
      </c>
      <c r="X396" s="222">
        <f t="shared" si="93"/>
        <v>1</v>
      </c>
      <c r="Y396" s="421">
        <f t="shared" si="100"/>
        <v>0.79099755109117309</v>
      </c>
      <c r="Z396" s="223">
        <f t="shared" si="94"/>
        <v>0.89549877554558655</v>
      </c>
      <c r="AA396" s="224" t="str">
        <f t="shared" si="88"/>
        <v>TX-Yes</v>
      </c>
      <c r="AB396" s="225" t="str">
        <f t="shared" si="95"/>
        <v>TX-Dem</v>
      </c>
      <c r="AC396" s="422" t="str">
        <f>C396&amp;"-"&amp;IF(Y396&gt;Instructions!$H$14,Instructions!$I$14,IF(Y396&gt;Instructions!$H$15,Instructions!$I$15,IF(Y396&gt;Instructions!$H$16,Instructions!$I$16,IF(Y396&gt;Instructions!$H$17,Instructions!$I$17,Instructions!$I$18))))</f>
        <v>TX-No contest</v>
      </c>
      <c r="AD396" s="226">
        <f t="shared" si="96"/>
        <v>0</v>
      </c>
      <c r="AE396" s="226">
        <f t="shared" si="97"/>
        <v>0</v>
      </c>
      <c r="AF396" s="227">
        <f t="shared" si="98"/>
        <v>4822</v>
      </c>
      <c r="AG396" s="341">
        <f t="shared" si="99"/>
        <v>4822</v>
      </c>
      <c r="AH396" s="380"/>
    </row>
    <row r="397" spans="1:34">
      <c r="A397" s="352" t="s">
        <v>106</v>
      </c>
      <c r="B397" s="427">
        <v>30</v>
      </c>
      <c r="C397" s="220" t="s">
        <v>42</v>
      </c>
      <c r="D397" s="379" t="s">
        <v>716</v>
      </c>
      <c r="E397" s="414" t="s">
        <v>373</v>
      </c>
      <c r="F397" s="414" t="s">
        <v>373</v>
      </c>
      <c r="G397"/>
      <c r="H397"/>
      <c r="I397"/>
      <c r="J397" t="str">
        <f t="shared" si="89"/>
        <v>TX-Yes</v>
      </c>
      <c r="K397" t="str">
        <f t="shared" si="90"/>
        <v>TX-Yes</v>
      </c>
      <c r="L397" s="417"/>
      <c r="M397" s="417"/>
      <c r="N397" s="255">
        <v>1992</v>
      </c>
      <c r="O397" s="416">
        <v>93041</v>
      </c>
      <c r="P397" s="416"/>
      <c r="Q397" s="416">
        <v>0</v>
      </c>
      <c r="R397" s="416"/>
      <c r="S397" s="416">
        <v>12752</v>
      </c>
      <c r="T397" s="353">
        <f t="shared" si="91"/>
        <v>105793</v>
      </c>
      <c r="U397" s="228"/>
      <c r="V397" s="221">
        <f t="shared" si="92"/>
        <v>93041</v>
      </c>
      <c r="W397" s="388">
        <v>7154</v>
      </c>
      <c r="X397" s="222">
        <f t="shared" si="93"/>
        <v>1</v>
      </c>
      <c r="Y397" s="421">
        <f t="shared" si="100"/>
        <v>0.81184010284234309</v>
      </c>
      <c r="Z397" s="223">
        <f t="shared" si="94"/>
        <v>0.87946272437684914</v>
      </c>
      <c r="AA397" s="224" t="str">
        <f t="shared" si="88"/>
        <v>TX-Yes</v>
      </c>
      <c r="AB397" s="225" t="str">
        <f t="shared" si="95"/>
        <v>TX-Dem</v>
      </c>
      <c r="AC397" s="422" t="str">
        <f>C397&amp;"-"&amp;IF(Y397&gt;Instructions!$H$14,Instructions!$I$14,IF(Y397&gt;Instructions!$H$15,Instructions!$I$15,IF(Y397&gt;Instructions!$H$16,Instructions!$I$16,IF(Y397&gt;Instructions!$H$17,Instructions!$I$17,Instructions!$I$18))))</f>
        <v>TX-No contest</v>
      </c>
      <c r="AD397" s="226">
        <f t="shared" si="96"/>
        <v>0</v>
      </c>
      <c r="AE397" s="226">
        <f t="shared" si="97"/>
        <v>0</v>
      </c>
      <c r="AF397" s="227">
        <f t="shared" si="98"/>
        <v>12752</v>
      </c>
      <c r="AG397" s="341">
        <f t="shared" si="99"/>
        <v>12752</v>
      </c>
    </row>
    <row r="398" spans="1:34">
      <c r="A398" s="352" t="s">
        <v>106</v>
      </c>
      <c r="B398" s="427">
        <v>31</v>
      </c>
      <c r="C398" s="220" t="s">
        <v>42</v>
      </c>
      <c r="D398" s="379" t="s">
        <v>717</v>
      </c>
      <c r="E398" s="379"/>
      <c r="F398"/>
      <c r="G398"/>
      <c r="H398"/>
      <c r="I398"/>
      <c r="J398" t="str">
        <f t="shared" si="89"/>
        <v>TX-Yes</v>
      </c>
      <c r="K398" t="str">
        <f t="shared" si="90"/>
        <v>TX-Yes</v>
      </c>
      <c r="L398" s="352"/>
      <c r="M398" s="352"/>
      <c r="N398" s="255">
        <v>2002</v>
      </c>
      <c r="O398" s="416">
        <v>45715</v>
      </c>
      <c r="P398" s="416"/>
      <c r="Q398" s="416">
        <v>91607</v>
      </c>
      <c r="R398" s="416"/>
      <c r="S398" s="416">
        <v>5706</v>
      </c>
      <c r="T398" s="353">
        <f t="shared" si="91"/>
        <v>143028</v>
      </c>
      <c r="U398" s="228"/>
      <c r="V398" s="221">
        <f t="shared" si="92"/>
        <v>91607</v>
      </c>
      <c r="W398" s="388">
        <f t="shared" si="87"/>
        <v>45715</v>
      </c>
      <c r="X398" s="222">
        <f t="shared" si="93"/>
        <v>0.33419262754693346</v>
      </c>
      <c r="Y398" s="421">
        <f t="shared" si="100"/>
        <v>0.32086025113963695</v>
      </c>
      <c r="Z398" s="223">
        <f t="shared" si="94"/>
        <v>0.64048298235310563</v>
      </c>
      <c r="AA398" s="224" t="str">
        <f t="shared" si="88"/>
        <v>TX-No</v>
      </c>
      <c r="AB398" s="225" t="str">
        <f t="shared" si="95"/>
        <v>TX-Rep</v>
      </c>
      <c r="AC398" s="422" t="str">
        <f>C398&amp;"-"&amp;IF(Y398&gt;Instructions!$H$14,Instructions!$I$14,IF(Y398&gt;Instructions!$H$15,Instructions!$I$15,IF(Y398&gt;Instructions!$H$16,Instructions!$I$16,IF(Y398&gt;Instructions!$H$17,Instructions!$I$17,Instructions!$I$18))))</f>
        <v>TX-Landslide</v>
      </c>
      <c r="AD398" s="226">
        <f t="shared" si="96"/>
        <v>45715</v>
      </c>
      <c r="AE398" s="226">
        <f t="shared" si="97"/>
        <v>0</v>
      </c>
      <c r="AF398" s="227">
        <f t="shared" si="98"/>
        <v>5706</v>
      </c>
      <c r="AG398" s="341">
        <f t="shared" si="99"/>
        <v>51421</v>
      </c>
    </row>
    <row r="399" spans="1:34">
      <c r="A399" s="352" t="s">
        <v>106</v>
      </c>
      <c r="B399" s="427">
        <v>32</v>
      </c>
      <c r="C399" s="220" t="s">
        <v>42</v>
      </c>
      <c r="D399" s="379" t="s">
        <v>718</v>
      </c>
      <c r="E399"/>
      <c r="F399"/>
      <c r="G399"/>
      <c r="H399"/>
      <c r="I399"/>
      <c r="J399" t="str">
        <f t="shared" si="89"/>
        <v>TX-Yes</v>
      </c>
      <c r="K399" t="str">
        <f t="shared" si="90"/>
        <v>TX-Yes</v>
      </c>
      <c r="L399" s="415"/>
      <c r="M399" s="415"/>
      <c r="N399" s="255">
        <v>1996</v>
      </c>
      <c r="O399" s="416">
        <v>55325</v>
      </c>
      <c r="P399" s="416"/>
      <c r="Q399" s="416">
        <v>96495</v>
      </c>
      <c r="R399" s="416"/>
      <c r="S399" s="416">
        <v>4276</v>
      </c>
      <c r="T399" s="353">
        <f t="shared" si="91"/>
        <v>156096</v>
      </c>
      <c r="U399" s="228"/>
      <c r="V399" s="221">
        <f t="shared" si="92"/>
        <v>96495</v>
      </c>
      <c r="W399" s="388">
        <f t="shared" si="87"/>
        <v>55325</v>
      </c>
      <c r="X399" s="222">
        <f t="shared" si="93"/>
        <v>0.27117639309708863</v>
      </c>
      <c r="Y399" s="421">
        <f t="shared" si="100"/>
        <v>0.2637479499794998</v>
      </c>
      <c r="Z399" s="223">
        <f t="shared" si="94"/>
        <v>0.61817727552275525</v>
      </c>
      <c r="AA399" s="224" t="str">
        <f t="shared" si="88"/>
        <v>TX-No</v>
      </c>
      <c r="AB399" s="225" t="str">
        <f t="shared" si="95"/>
        <v>TX-Rep</v>
      </c>
      <c r="AC399" s="422" t="str">
        <f>C399&amp;"-"&amp;IF(Y399&gt;Instructions!$H$14,Instructions!$I$14,IF(Y399&gt;Instructions!$H$15,Instructions!$I$15,IF(Y399&gt;Instructions!$H$16,Instructions!$I$16,IF(Y399&gt;Instructions!$H$17,Instructions!$I$17,Instructions!$I$18))))</f>
        <v>TX-Landslide</v>
      </c>
      <c r="AD399" s="226">
        <f t="shared" si="96"/>
        <v>55325</v>
      </c>
      <c r="AE399" s="226">
        <f t="shared" si="97"/>
        <v>0</v>
      </c>
      <c r="AF399" s="227">
        <f t="shared" si="98"/>
        <v>4276</v>
      </c>
      <c r="AG399" s="341">
        <f t="shared" si="99"/>
        <v>59601</v>
      </c>
    </row>
    <row r="400" spans="1:34">
      <c r="A400" s="352" t="s">
        <v>106</v>
      </c>
      <c r="B400" s="427">
        <v>33</v>
      </c>
      <c r="C400" s="220" t="s">
        <v>42</v>
      </c>
      <c r="D400" s="379" t="s">
        <v>719</v>
      </c>
      <c r="E400"/>
      <c r="F400" s="414" t="s">
        <v>373</v>
      </c>
      <c r="G400" s="379"/>
      <c r="H400"/>
      <c r="I400"/>
      <c r="J400" t="str">
        <f t="shared" si="89"/>
        <v>TX-Yes</v>
      </c>
      <c r="K400" t="str">
        <f t="shared" si="90"/>
        <v>TX-Yes</v>
      </c>
      <c r="L400" s="417"/>
      <c r="M400" s="417"/>
      <c r="N400" s="255">
        <v>2012</v>
      </c>
      <c r="O400" s="416">
        <v>43769</v>
      </c>
      <c r="P400" s="416"/>
      <c r="Q400" s="416">
        <v>0</v>
      </c>
      <c r="R400" s="416"/>
      <c r="S400" s="416">
        <v>6823</v>
      </c>
      <c r="T400" s="353">
        <f t="shared" si="91"/>
        <v>50592</v>
      </c>
      <c r="U400" s="228"/>
      <c r="V400" s="221">
        <f t="shared" si="92"/>
        <v>43769</v>
      </c>
      <c r="W400" s="388">
        <f t="shared" si="87"/>
        <v>6823</v>
      </c>
      <c r="X400" s="222">
        <f t="shared" si="93"/>
        <v>1</v>
      </c>
      <c r="Y400" s="421">
        <f t="shared" si="100"/>
        <v>0.73027356103731811</v>
      </c>
      <c r="Z400" s="223">
        <f t="shared" si="94"/>
        <v>0.86513678051865905</v>
      </c>
      <c r="AA400" s="224" t="str">
        <f t="shared" si="88"/>
        <v>TX-Yes</v>
      </c>
      <c r="AB400" s="225" t="str">
        <f t="shared" si="95"/>
        <v>TX-Dem</v>
      </c>
      <c r="AC400" s="422" t="str">
        <f>C400&amp;"-"&amp;IF(Y400&gt;Instructions!$H$14,Instructions!$I$14,IF(Y400&gt;Instructions!$H$15,Instructions!$I$15,IF(Y400&gt;Instructions!$H$16,Instructions!$I$16,IF(Y400&gt;Instructions!$H$17,Instructions!$I$17,Instructions!$I$18))))</f>
        <v>TX-No contest</v>
      </c>
      <c r="AD400" s="226">
        <f t="shared" si="96"/>
        <v>0</v>
      </c>
      <c r="AE400" s="226">
        <f t="shared" si="97"/>
        <v>0</v>
      </c>
      <c r="AF400" s="227">
        <f t="shared" si="98"/>
        <v>6823</v>
      </c>
      <c r="AG400" s="341">
        <f t="shared" si="99"/>
        <v>6823</v>
      </c>
    </row>
    <row r="401" spans="1:34">
      <c r="A401" s="352" t="s">
        <v>106</v>
      </c>
      <c r="B401" s="427">
        <v>34</v>
      </c>
      <c r="C401" s="220" t="s">
        <v>42</v>
      </c>
      <c r="D401" s="379" t="s">
        <v>720</v>
      </c>
      <c r="E401"/>
      <c r="F401"/>
      <c r="G401" s="414" t="s">
        <v>373</v>
      </c>
      <c r="H401"/>
      <c r="I401"/>
      <c r="J401" t="str">
        <f t="shared" si="89"/>
        <v>TX-Yes</v>
      </c>
      <c r="K401" t="str">
        <f t="shared" si="90"/>
        <v>TX-Yes</v>
      </c>
      <c r="L401" s="417"/>
      <c r="M401" s="417"/>
      <c r="N401" s="255">
        <v>2012</v>
      </c>
      <c r="O401" s="416">
        <v>47503</v>
      </c>
      <c r="P401" s="416"/>
      <c r="Q401" s="416">
        <v>30811</v>
      </c>
      <c r="R401" s="416"/>
      <c r="S401" s="416">
        <v>1563</v>
      </c>
      <c r="T401" s="353">
        <f t="shared" si="91"/>
        <v>79877</v>
      </c>
      <c r="U401" s="228"/>
      <c r="V401" s="221">
        <f t="shared" si="92"/>
        <v>47503</v>
      </c>
      <c r="W401" s="388">
        <f t="shared" si="87"/>
        <v>30811</v>
      </c>
      <c r="X401" s="222">
        <f t="shared" si="93"/>
        <v>0.21314196695354598</v>
      </c>
      <c r="Y401" s="421">
        <f t="shared" si="100"/>
        <v>0.20897129336354642</v>
      </c>
      <c r="Z401" s="223">
        <f t="shared" si="94"/>
        <v>0.59470185410067977</v>
      </c>
      <c r="AA401" s="224" t="str">
        <f t="shared" si="88"/>
        <v>TX-No</v>
      </c>
      <c r="AB401" s="225" t="str">
        <f t="shared" si="95"/>
        <v>TX-Dem</v>
      </c>
      <c r="AC401" s="422" t="str">
        <f>C401&amp;"-"&amp;IF(Y401&gt;Instructions!$H$14,Instructions!$I$14,IF(Y401&gt;Instructions!$H$15,Instructions!$I$15,IF(Y401&gt;Instructions!$H$16,Instructions!$I$16,IF(Y401&gt;Instructions!$H$17,Instructions!$I$17,Instructions!$I$18))))</f>
        <v>TX-Landslide</v>
      </c>
      <c r="AD401" s="226">
        <f t="shared" si="96"/>
        <v>0</v>
      </c>
      <c r="AE401" s="226">
        <f t="shared" si="97"/>
        <v>30811</v>
      </c>
      <c r="AF401" s="227">
        <f t="shared" si="98"/>
        <v>1563</v>
      </c>
      <c r="AG401" s="341">
        <f t="shared" si="99"/>
        <v>32374</v>
      </c>
    </row>
    <row r="402" spans="1:34">
      <c r="A402" s="352" t="s">
        <v>106</v>
      </c>
      <c r="B402" s="427">
        <v>35</v>
      </c>
      <c r="C402" s="220" t="s">
        <v>42</v>
      </c>
      <c r="D402" s="379" t="s">
        <v>721</v>
      </c>
      <c r="E402"/>
      <c r="F402" s="379"/>
      <c r="G402"/>
      <c r="H402"/>
      <c r="I402"/>
      <c r="J402" t="str">
        <f t="shared" si="89"/>
        <v>TX-Yes</v>
      </c>
      <c r="K402" t="str">
        <f t="shared" si="90"/>
        <v>TX-Yes</v>
      </c>
      <c r="L402" s="354"/>
      <c r="M402" s="354"/>
      <c r="N402" s="255">
        <v>1994</v>
      </c>
      <c r="O402" s="416">
        <v>60124</v>
      </c>
      <c r="P402" s="416"/>
      <c r="Q402" s="416">
        <v>32040</v>
      </c>
      <c r="R402" s="416"/>
      <c r="S402" s="416">
        <v>4061</v>
      </c>
      <c r="T402" s="353">
        <f t="shared" si="91"/>
        <v>96225</v>
      </c>
      <c r="U402" s="228"/>
      <c r="V402" s="221">
        <f t="shared" si="92"/>
        <v>60124</v>
      </c>
      <c r="W402" s="388">
        <f t="shared" si="87"/>
        <v>32040</v>
      </c>
      <c r="X402" s="222">
        <f t="shared" si="93"/>
        <v>0.30471767718414999</v>
      </c>
      <c r="Y402" s="421">
        <f t="shared" si="100"/>
        <v>0.29185762535723569</v>
      </c>
      <c r="Z402" s="223">
        <f t="shared" si="94"/>
        <v>0.62482722785139</v>
      </c>
      <c r="AA402" s="224" t="str">
        <f t="shared" si="88"/>
        <v>TX-No</v>
      </c>
      <c r="AB402" s="225" t="str">
        <f t="shared" si="95"/>
        <v>TX-Dem</v>
      </c>
      <c r="AC402" s="422" t="str">
        <f>C402&amp;"-"&amp;IF(Y402&gt;Instructions!$H$14,Instructions!$I$14,IF(Y402&gt;Instructions!$H$15,Instructions!$I$15,IF(Y402&gt;Instructions!$H$16,Instructions!$I$16,IF(Y402&gt;Instructions!$H$17,Instructions!$I$17,Instructions!$I$18))))</f>
        <v>TX-Landslide</v>
      </c>
      <c r="AD402" s="226">
        <f t="shared" si="96"/>
        <v>0</v>
      </c>
      <c r="AE402" s="226">
        <f t="shared" si="97"/>
        <v>32040</v>
      </c>
      <c r="AF402" s="227">
        <f t="shared" si="98"/>
        <v>4061</v>
      </c>
      <c r="AG402" s="341">
        <f t="shared" si="99"/>
        <v>36101</v>
      </c>
    </row>
    <row r="403" spans="1:34">
      <c r="A403" s="352" t="s">
        <v>106</v>
      </c>
      <c r="B403" s="427">
        <v>36</v>
      </c>
      <c r="C403" s="220" t="s">
        <v>42</v>
      </c>
      <c r="D403" s="379" t="s">
        <v>819</v>
      </c>
      <c r="E403" s="414"/>
      <c r="F403" s="414"/>
      <c r="G403" s="379"/>
      <c r="H403"/>
      <c r="I403"/>
      <c r="J403" t="str">
        <f t="shared" si="89"/>
        <v>TX-No</v>
      </c>
      <c r="K403" t="str">
        <f t="shared" si="90"/>
        <v>TX-No</v>
      </c>
      <c r="L403" s="415">
        <v>0</v>
      </c>
      <c r="M403" s="415"/>
      <c r="N403" s="255">
        <v>2014</v>
      </c>
      <c r="O403" s="416">
        <v>29543</v>
      </c>
      <c r="P403" s="416"/>
      <c r="Q403" s="416">
        <v>101663</v>
      </c>
      <c r="R403" s="416"/>
      <c r="S403" s="416">
        <v>2636</v>
      </c>
      <c r="T403" s="353">
        <f t="shared" si="91"/>
        <v>133842</v>
      </c>
      <c r="U403" s="228"/>
      <c r="V403" s="221">
        <f t="shared" si="92"/>
        <v>101663</v>
      </c>
      <c r="W403" s="388">
        <f t="shared" si="87"/>
        <v>29543</v>
      </c>
      <c r="X403" s="222">
        <f t="shared" si="93"/>
        <v>0.54966998460436256</v>
      </c>
      <c r="Y403" s="421">
        <f t="shared" si="100"/>
        <v>0.53884430896131263</v>
      </c>
      <c r="Z403" s="223">
        <f t="shared" si="94"/>
        <v>0.75957472243391466</v>
      </c>
      <c r="AA403" s="224" t="str">
        <f t="shared" si="88"/>
        <v>TX-No</v>
      </c>
      <c r="AB403" s="225" t="str">
        <f t="shared" si="95"/>
        <v>TX-Rep</v>
      </c>
      <c r="AC403" s="422" t="str">
        <f>C403&amp;"-"&amp;IF(Y403&gt;Instructions!$H$14,Instructions!$I$14,IF(Y403&gt;Instructions!$H$15,Instructions!$I$15,IF(Y403&gt;Instructions!$H$16,Instructions!$I$16,IF(Y403&gt;Instructions!$H$17,Instructions!$I$17,Instructions!$I$18))))</f>
        <v>TX-No contest</v>
      </c>
      <c r="AD403" s="226">
        <f t="shared" si="96"/>
        <v>29543</v>
      </c>
      <c r="AE403" s="226">
        <f t="shared" si="97"/>
        <v>0</v>
      </c>
      <c r="AF403" s="227">
        <f t="shared" si="98"/>
        <v>2636</v>
      </c>
      <c r="AG403" s="341">
        <f t="shared" si="99"/>
        <v>32179</v>
      </c>
    </row>
    <row r="404" spans="1:34">
      <c r="A404" s="352" t="s">
        <v>107</v>
      </c>
      <c r="B404" s="427">
        <v>1</v>
      </c>
      <c r="C404" s="220" t="s">
        <v>43</v>
      </c>
      <c r="D404" s="379" t="s">
        <v>722</v>
      </c>
      <c r="E404" s="379"/>
      <c r="F404"/>
      <c r="G404"/>
      <c r="H404"/>
      <c r="I404"/>
      <c r="J404" t="str">
        <f t="shared" si="89"/>
        <v>UT-Yes</v>
      </c>
      <c r="K404" t="str">
        <f t="shared" si="90"/>
        <v>UT-Yes</v>
      </c>
      <c r="L404" s="415"/>
      <c r="M404" s="415"/>
      <c r="N404" s="255">
        <v>2002</v>
      </c>
      <c r="O404" s="416">
        <v>36422</v>
      </c>
      <c r="P404" s="416"/>
      <c r="Q404" s="416">
        <v>84231</v>
      </c>
      <c r="R404" s="416"/>
      <c r="S404" s="416">
        <v>9688</v>
      </c>
      <c r="T404" s="353">
        <f t="shared" si="91"/>
        <v>130341</v>
      </c>
      <c r="U404" s="228"/>
      <c r="V404" s="221">
        <f t="shared" si="92"/>
        <v>84231</v>
      </c>
      <c r="W404" s="388">
        <f t="shared" si="87"/>
        <v>36422</v>
      </c>
      <c r="X404" s="222">
        <f t="shared" si="93"/>
        <v>0.39625206169759558</v>
      </c>
      <c r="Y404" s="421">
        <f t="shared" si="100"/>
        <v>0.3667993954319822</v>
      </c>
      <c r="Z404" s="223">
        <f t="shared" si="94"/>
        <v>0.64623564342762441</v>
      </c>
      <c r="AA404" s="224" t="str">
        <f t="shared" si="88"/>
        <v>UT-No</v>
      </c>
      <c r="AB404" s="225" t="str">
        <f t="shared" si="95"/>
        <v>UT-Rep</v>
      </c>
      <c r="AC404" s="422" t="str">
        <f>C404&amp;"-"&amp;IF(Y404&gt;Instructions!$H$14,Instructions!$I$14,IF(Y404&gt;Instructions!$H$15,Instructions!$I$15,IF(Y404&gt;Instructions!$H$16,Instructions!$I$16,IF(Y404&gt;Instructions!$H$17,Instructions!$I$17,Instructions!$I$18))))</f>
        <v>UT-Landslide</v>
      </c>
      <c r="AD404" s="226">
        <f t="shared" si="96"/>
        <v>36422</v>
      </c>
      <c r="AE404" s="226">
        <f t="shared" si="97"/>
        <v>0</v>
      </c>
      <c r="AF404" s="227">
        <f t="shared" si="98"/>
        <v>9688</v>
      </c>
      <c r="AG404" s="341">
        <f t="shared" si="99"/>
        <v>46110</v>
      </c>
    </row>
    <row r="405" spans="1:34">
      <c r="A405" s="352" t="s">
        <v>107</v>
      </c>
      <c r="B405" s="427">
        <v>2</v>
      </c>
      <c r="C405" s="220" t="s">
        <v>43</v>
      </c>
      <c r="D405" s="379" t="s">
        <v>723</v>
      </c>
      <c r="E405"/>
      <c r="F405"/>
      <c r="G405"/>
      <c r="H405"/>
      <c r="I405"/>
      <c r="J405" t="str">
        <f t="shared" si="89"/>
        <v>UT-Yes</v>
      </c>
      <c r="K405" t="str">
        <f t="shared" si="90"/>
        <v>UT-Yes</v>
      </c>
      <c r="L405" s="352"/>
      <c r="M405" s="352"/>
      <c r="N405" s="255">
        <v>2012</v>
      </c>
      <c r="O405" s="416">
        <v>47585</v>
      </c>
      <c r="P405" s="416"/>
      <c r="Q405" s="416">
        <v>88915</v>
      </c>
      <c r="R405" s="416"/>
      <c r="S405" s="416">
        <v>8195</v>
      </c>
      <c r="T405" s="353">
        <f t="shared" si="91"/>
        <v>144695</v>
      </c>
      <c r="U405" s="228"/>
      <c r="V405" s="221">
        <f t="shared" si="92"/>
        <v>88915</v>
      </c>
      <c r="W405" s="388">
        <f t="shared" si="87"/>
        <v>47585</v>
      </c>
      <c r="X405" s="222">
        <f t="shared" si="93"/>
        <v>0.3027838827838828</v>
      </c>
      <c r="Y405" s="421">
        <f t="shared" si="100"/>
        <v>0.28563530184180519</v>
      </c>
      <c r="Z405" s="223">
        <f t="shared" si="94"/>
        <v>0.61449946439061476</v>
      </c>
      <c r="AA405" s="224" t="str">
        <f t="shared" si="88"/>
        <v>UT-No</v>
      </c>
      <c r="AB405" s="225" t="str">
        <f t="shared" si="95"/>
        <v>UT-Rep</v>
      </c>
      <c r="AC405" s="422" t="str">
        <f>C405&amp;"-"&amp;IF(Y405&gt;Instructions!$H$14,Instructions!$I$14,IF(Y405&gt;Instructions!$H$15,Instructions!$I$15,IF(Y405&gt;Instructions!$H$16,Instructions!$I$16,IF(Y405&gt;Instructions!$H$17,Instructions!$I$17,Instructions!$I$18))))</f>
        <v>UT-Landslide</v>
      </c>
      <c r="AD405" s="226">
        <f t="shared" si="96"/>
        <v>47585</v>
      </c>
      <c r="AE405" s="226">
        <f t="shared" si="97"/>
        <v>0</v>
      </c>
      <c r="AF405" s="227">
        <f t="shared" si="98"/>
        <v>8195</v>
      </c>
      <c r="AG405" s="341">
        <f t="shared" si="99"/>
        <v>55780</v>
      </c>
      <c r="AH405" s="413">
        <f>SUM(AG375:AG405)</f>
        <v>1120025</v>
      </c>
    </row>
    <row r="406" spans="1:34">
      <c r="A406" s="352" t="s">
        <v>107</v>
      </c>
      <c r="B406" s="427">
        <v>3</v>
      </c>
      <c r="C406" s="220" t="s">
        <v>43</v>
      </c>
      <c r="D406" s="379" t="s">
        <v>724</v>
      </c>
      <c r="E406" s="379"/>
      <c r="F406" s="379"/>
      <c r="G406"/>
      <c r="H406" s="379"/>
      <c r="I406"/>
      <c r="J406" t="str">
        <f t="shared" si="89"/>
        <v>UT-Yes</v>
      </c>
      <c r="K406" t="str">
        <f t="shared" si="90"/>
        <v>UT-Yes</v>
      </c>
      <c r="L406" s="415"/>
      <c r="M406" s="415"/>
      <c r="N406" s="255">
        <v>2008</v>
      </c>
      <c r="O406" s="416">
        <v>32059</v>
      </c>
      <c r="P406" s="416"/>
      <c r="Q406" s="416">
        <v>102952</v>
      </c>
      <c r="R406" s="416"/>
      <c r="S406" s="416">
        <v>7569</v>
      </c>
      <c r="T406" s="353">
        <f t="shared" si="91"/>
        <v>142580</v>
      </c>
      <c r="U406" s="228"/>
      <c r="V406" s="221">
        <f t="shared" si="92"/>
        <v>102952</v>
      </c>
      <c r="W406" s="388">
        <f t="shared" si="87"/>
        <v>32059</v>
      </c>
      <c r="X406" s="222">
        <f t="shared" si="93"/>
        <v>0.52509054817755585</v>
      </c>
      <c r="Y406" s="421">
        <f t="shared" si="100"/>
        <v>0.49721559826062561</v>
      </c>
      <c r="Z406" s="223">
        <f t="shared" si="94"/>
        <v>0.72206480572310283</v>
      </c>
      <c r="AA406" s="224" t="str">
        <f t="shared" si="88"/>
        <v>UT-No</v>
      </c>
      <c r="AB406" s="225" t="str">
        <f t="shared" si="95"/>
        <v>UT-Rep</v>
      </c>
      <c r="AC406" s="422" t="str">
        <f>C406&amp;"-"&amp;IF(Y406&gt;Instructions!$H$14,Instructions!$I$14,IF(Y406&gt;Instructions!$H$15,Instructions!$I$15,IF(Y406&gt;Instructions!$H$16,Instructions!$I$16,IF(Y406&gt;Instructions!$H$17,Instructions!$I$17,Instructions!$I$18))))</f>
        <v>UT-No contest</v>
      </c>
      <c r="AD406" s="226">
        <f t="shared" si="96"/>
        <v>32059</v>
      </c>
      <c r="AE406" s="226">
        <f t="shared" si="97"/>
        <v>0</v>
      </c>
      <c r="AF406" s="227">
        <f t="shared" si="98"/>
        <v>7569</v>
      </c>
      <c r="AG406" s="341">
        <f t="shared" si="99"/>
        <v>39628</v>
      </c>
    </row>
    <row r="407" spans="1:34">
      <c r="A407" s="352" t="s">
        <v>107</v>
      </c>
      <c r="B407" s="427">
        <v>4</v>
      </c>
      <c r="C407" s="220" t="s">
        <v>43</v>
      </c>
      <c r="D407" s="379" t="s">
        <v>820</v>
      </c>
      <c r="E407" t="s">
        <v>829</v>
      </c>
      <c r="F407" s="379" t="s">
        <v>829</v>
      </c>
      <c r="G407"/>
      <c r="H407"/>
      <c r="I407"/>
      <c r="J407" t="str">
        <f t="shared" si="89"/>
        <v>UT-No</v>
      </c>
      <c r="K407" t="str">
        <f t="shared" si="90"/>
        <v>UT-No</v>
      </c>
      <c r="L407" s="415">
        <v>0</v>
      </c>
      <c r="M407" s="417">
        <v>1</v>
      </c>
      <c r="N407" s="255">
        <v>2014</v>
      </c>
      <c r="O407" s="416">
        <v>67425</v>
      </c>
      <c r="P407" s="416"/>
      <c r="Q407" s="416">
        <v>74936</v>
      </c>
      <c r="R407" s="416"/>
      <c r="S407" s="416">
        <v>4807</v>
      </c>
      <c r="T407" s="353">
        <f t="shared" si="91"/>
        <v>147168</v>
      </c>
      <c r="U407" s="228"/>
      <c r="V407" s="221">
        <f t="shared" si="92"/>
        <v>74936</v>
      </c>
      <c r="W407" s="388">
        <f t="shared" si="87"/>
        <v>67425</v>
      </c>
      <c r="X407" s="222">
        <f t="shared" si="93"/>
        <v>5.2760236300672232E-2</v>
      </c>
      <c r="Y407" s="421">
        <f t="shared" si="100"/>
        <v>5.1036910197869101E-2</v>
      </c>
      <c r="Z407" s="223">
        <f t="shared" si="94"/>
        <v>0.50918677973472493</v>
      </c>
      <c r="AA407" s="224" t="str">
        <f t="shared" si="88"/>
        <v>UT-No</v>
      </c>
      <c r="AB407" s="225" t="str">
        <f t="shared" si="95"/>
        <v>UT-Rep</v>
      </c>
      <c r="AC407" s="422" t="str">
        <f>C407&amp;"-"&amp;IF(Y407&gt;Instructions!$H$14,Instructions!$I$14,IF(Y407&gt;Instructions!$H$15,Instructions!$I$15,IF(Y407&gt;Instructions!$H$16,Instructions!$I$16,IF(Y407&gt;Instructions!$H$17,Instructions!$I$17,Instructions!$I$18))))</f>
        <v>UT-Competitive</v>
      </c>
      <c r="AD407" s="226">
        <f t="shared" si="96"/>
        <v>67425</v>
      </c>
      <c r="AE407" s="226">
        <f t="shared" si="97"/>
        <v>0</v>
      </c>
      <c r="AF407" s="227">
        <f t="shared" si="98"/>
        <v>4807</v>
      </c>
      <c r="AG407" s="341">
        <f t="shared" si="99"/>
        <v>72232</v>
      </c>
    </row>
    <row r="408" spans="1:34" s="76" customFormat="1">
      <c r="A408" s="352" t="s">
        <v>108</v>
      </c>
      <c r="B408" s="426" t="s">
        <v>0</v>
      </c>
      <c r="C408" s="398" t="s">
        <v>44</v>
      </c>
      <c r="D408" s="379" t="s">
        <v>725</v>
      </c>
      <c r="E408" s="379"/>
      <c r="F408" s="379"/>
      <c r="G408"/>
      <c r="H408"/>
      <c r="I408"/>
      <c r="J408" t="str">
        <f t="shared" si="89"/>
        <v>VT-Yes</v>
      </c>
      <c r="K408" t="str">
        <f t="shared" si="90"/>
        <v>VT-Yes</v>
      </c>
      <c r="L408" s="354"/>
      <c r="M408" s="354"/>
      <c r="N408" s="255">
        <v>2006</v>
      </c>
      <c r="O408" s="416">
        <v>123349</v>
      </c>
      <c r="P408" s="416"/>
      <c r="Q408" s="416">
        <v>59432</v>
      </c>
      <c r="R408" s="416"/>
      <c r="S408" s="416">
        <v>8723</v>
      </c>
      <c r="T408" s="353">
        <f t="shared" si="91"/>
        <v>191504</v>
      </c>
      <c r="U408" s="228"/>
      <c r="V408" s="221">
        <f t="shared" si="92"/>
        <v>123349</v>
      </c>
      <c r="W408" s="388">
        <f t="shared" si="87"/>
        <v>59432</v>
      </c>
      <c r="X408" s="222">
        <f t="shared" si="93"/>
        <v>0.34969170756260226</v>
      </c>
      <c r="Y408" s="421">
        <f t="shared" si="100"/>
        <v>0.33376326343052892</v>
      </c>
      <c r="Z408" s="223">
        <f t="shared" si="94"/>
        <v>0.64410665051382743</v>
      </c>
      <c r="AA408" s="224" t="str">
        <f t="shared" si="88"/>
        <v>VT-No</v>
      </c>
      <c r="AB408" s="225" t="str">
        <f t="shared" si="95"/>
        <v>VT-Dem</v>
      </c>
      <c r="AC408" s="422" t="str">
        <f>C408&amp;"-"&amp;IF(Y408&gt;Instructions!$H$14,Instructions!$I$14,IF(Y408&gt;Instructions!$H$15,Instructions!$I$15,IF(Y408&gt;Instructions!$H$16,Instructions!$I$16,IF(Y408&gt;Instructions!$H$17,Instructions!$I$17,Instructions!$I$18))))</f>
        <v>VT-Landslide</v>
      </c>
      <c r="AD408" s="226">
        <f t="shared" si="96"/>
        <v>0</v>
      </c>
      <c r="AE408" s="226">
        <f t="shared" si="97"/>
        <v>59432</v>
      </c>
      <c r="AF408" s="227">
        <f t="shared" si="98"/>
        <v>8723</v>
      </c>
      <c r="AG408" s="341">
        <f t="shared" si="99"/>
        <v>68155</v>
      </c>
      <c r="AH408" s="413">
        <f>SUM(AG406:AG408)</f>
        <v>180015</v>
      </c>
    </row>
    <row r="409" spans="1:34" s="76" customFormat="1">
      <c r="A409" s="352" t="s">
        <v>109</v>
      </c>
      <c r="B409" s="427">
        <v>1</v>
      </c>
      <c r="C409" s="220" t="s">
        <v>45</v>
      </c>
      <c r="D409" s="379" t="s">
        <v>726</v>
      </c>
      <c r="E409" s="379"/>
      <c r="F409" s="379"/>
      <c r="G409" s="379"/>
      <c r="H409"/>
      <c r="I409"/>
      <c r="J409" t="str">
        <f t="shared" si="89"/>
        <v>VA-Yes</v>
      </c>
      <c r="K409" t="str">
        <f t="shared" si="90"/>
        <v>VA-Yes</v>
      </c>
      <c r="L409" s="415"/>
      <c r="M409" s="415"/>
      <c r="N409" s="255">
        <v>2007</v>
      </c>
      <c r="O409" s="416">
        <v>72059</v>
      </c>
      <c r="P409" s="416"/>
      <c r="Q409" s="416">
        <v>131861</v>
      </c>
      <c r="R409" s="416"/>
      <c r="S409" s="416">
        <v>5701</v>
      </c>
      <c r="T409" s="353">
        <f t="shared" si="91"/>
        <v>209621</v>
      </c>
      <c r="U409" s="228"/>
      <c r="V409" s="399">
        <f t="shared" si="92"/>
        <v>131861</v>
      </c>
      <c r="W409" s="388">
        <f t="shared" si="87"/>
        <v>72059</v>
      </c>
      <c r="X409" s="222">
        <f t="shared" si="93"/>
        <v>0.29326206355433504</v>
      </c>
      <c r="Y409" s="421">
        <f t="shared" si="100"/>
        <v>0.28528630242199021</v>
      </c>
      <c r="Z409" s="400">
        <f t="shared" si="94"/>
        <v>0.62904479990077333</v>
      </c>
      <c r="AA409" s="224" t="str">
        <f t="shared" si="88"/>
        <v>VA-No</v>
      </c>
      <c r="AB409" s="402" t="str">
        <f t="shared" si="95"/>
        <v>VA-Rep</v>
      </c>
      <c r="AC409" s="422" t="str">
        <f>C409&amp;"-"&amp;IF(Y409&gt;Instructions!$H$14,Instructions!$I$14,IF(Y409&gt;Instructions!$H$15,Instructions!$I$15,IF(Y409&gt;Instructions!$H$16,Instructions!$I$16,IF(Y409&gt;Instructions!$H$17,Instructions!$I$17,Instructions!$I$18))))</f>
        <v>VA-Landslide</v>
      </c>
      <c r="AD409" s="403">
        <f t="shared" si="96"/>
        <v>72059</v>
      </c>
      <c r="AE409" s="403">
        <f t="shared" si="97"/>
        <v>0</v>
      </c>
      <c r="AF409" s="404">
        <v>3279</v>
      </c>
      <c r="AG409" s="341">
        <f t="shared" si="99"/>
        <v>75338</v>
      </c>
      <c r="AH409" s="413">
        <f>SUM(AG409)</f>
        <v>75338</v>
      </c>
    </row>
    <row r="410" spans="1:34" s="76" customFormat="1">
      <c r="A410" s="352" t="s">
        <v>109</v>
      </c>
      <c r="B410" s="427">
        <v>2</v>
      </c>
      <c r="C410" s="220" t="s">
        <v>45</v>
      </c>
      <c r="D410" s="379" t="s">
        <v>727</v>
      </c>
      <c r="E410"/>
      <c r="F410" s="379"/>
      <c r="G410"/>
      <c r="H410"/>
      <c r="I410"/>
      <c r="J410" t="str">
        <f t="shared" si="89"/>
        <v>VA-Yes</v>
      </c>
      <c r="K410" t="str">
        <f t="shared" si="90"/>
        <v>VA-Yes</v>
      </c>
      <c r="L410" s="415"/>
      <c r="M410" s="415"/>
      <c r="N410" s="255">
        <v>2010</v>
      </c>
      <c r="O410" s="416">
        <v>71178</v>
      </c>
      <c r="P410" s="416"/>
      <c r="Q410" s="416">
        <v>101558</v>
      </c>
      <c r="R410" s="416"/>
      <c r="S410" s="416">
        <v>324</v>
      </c>
      <c r="T410" s="353">
        <f t="shared" si="91"/>
        <v>173060</v>
      </c>
      <c r="U410" s="228"/>
      <c r="V410" s="221">
        <f t="shared" si="92"/>
        <v>101558</v>
      </c>
      <c r="W410" s="388">
        <f t="shared" si="87"/>
        <v>71178</v>
      </c>
      <c r="X410" s="222">
        <f t="shared" si="93"/>
        <v>0.17587532419414598</v>
      </c>
      <c r="Y410" s="421">
        <f t="shared" si="100"/>
        <v>0.17554605339188717</v>
      </c>
      <c r="Z410" s="223">
        <f t="shared" si="94"/>
        <v>0.58683693516699409</v>
      </c>
      <c r="AA410" s="224" t="str">
        <f t="shared" si="88"/>
        <v>VA-No</v>
      </c>
      <c r="AB410" s="225" t="str">
        <f t="shared" si="95"/>
        <v>VA-Rep</v>
      </c>
      <c r="AC410" s="422" t="str">
        <f>C410&amp;"-"&amp;IF(Y410&gt;Instructions!$H$14,Instructions!$I$14,IF(Y410&gt;Instructions!$H$15,Instructions!$I$15,IF(Y410&gt;Instructions!$H$16,Instructions!$I$16,IF(Y410&gt;Instructions!$H$17,Instructions!$I$17,Instructions!$I$18))))</f>
        <v>VA-Opportunity</v>
      </c>
      <c r="AD410" s="226">
        <f t="shared" si="96"/>
        <v>71178</v>
      </c>
      <c r="AE410" s="226">
        <f t="shared" si="97"/>
        <v>0</v>
      </c>
      <c r="AF410" s="227">
        <f t="shared" ref="AF410:AF441" si="101">IF(V410=S410,0,S410)</f>
        <v>324</v>
      </c>
      <c r="AG410" s="341">
        <f t="shared" si="99"/>
        <v>71502</v>
      </c>
      <c r="AH410" s="382"/>
    </row>
    <row r="411" spans="1:34" s="76" customFormat="1">
      <c r="A411" s="352" t="s">
        <v>109</v>
      </c>
      <c r="B411" s="427">
        <v>3</v>
      </c>
      <c r="C411" s="220" t="s">
        <v>45</v>
      </c>
      <c r="D411" s="379" t="s">
        <v>728</v>
      </c>
      <c r="E411"/>
      <c r="F411" s="414" t="s">
        <v>374</v>
      </c>
      <c r="G411" s="379"/>
      <c r="H411" s="414" t="s">
        <v>374</v>
      </c>
      <c r="I411"/>
      <c r="J411" t="str">
        <f t="shared" si="89"/>
        <v>VA-Yes</v>
      </c>
      <c r="K411" t="str">
        <f t="shared" si="90"/>
        <v>VA-Yes</v>
      </c>
      <c r="L411" s="354"/>
      <c r="M411" s="354"/>
      <c r="N411" s="255">
        <v>1998</v>
      </c>
      <c r="O411" s="416">
        <v>139197</v>
      </c>
      <c r="P411" s="416"/>
      <c r="Q411" s="416">
        <v>0</v>
      </c>
      <c r="R411" s="416"/>
      <c r="S411" s="416">
        <v>8205</v>
      </c>
      <c r="T411" s="353">
        <f t="shared" si="91"/>
        <v>147402</v>
      </c>
      <c r="U411" s="228"/>
      <c r="V411" s="221">
        <f t="shared" si="92"/>
        <v>139197</v>
      </c>
      <c r="W411" s="388">
        <f t="shared" si="87"/>
        <v>8205</v>
      </c>
      <c r="X411" s="222">
        <f t="shared" si="93"/>
        <v>1</v>
      </c>
      <c r="Y411" s="421">
        <f t="shared" si="100"/>
        <v>0.88867179549802588</v>
      </c>
      <c r="Z411" s="223">
        <f t="shared" si="94"/>
        <v>0.94433589774901294</v>
      </c>
      <c r="AA411" s="224" t="str">
        <f t="shared" si="88"/>
        <v>VA-Yes</v>
      </c>
      <c r="AB411" s="225" t="str">
        <f t="shared" si="95"/>
        <v>VA-Dem</v>
      </c>
      <c r="AC411" s="422" t="str">
        <f>C411&amp;"-"&amp;IF(Y411&gt;Instructions!$H$14,Instructions!$I$14,IF(Y411&gt;Instructions!$H$15,Instructions!$I$15,IF(Y411&gt;Instructions!$H$16,Instructions!$I$16,IF(Y411&gt;Instructions!$H$17,Instructions!$I$17,Instructions!$I$18))))</f>
        <v>VA-No contest</v>
      </c>
      <c r="AD411" s="226">
        <f t="shared" si="96"/>
        <v>0</v>
      </c>
      <c r="AE411" s="226">
        <f t="shared" si="97"/>
        <v>0</v>
      </c>
      <c r="AF411" s="227">
        <f t="shared" si="101"/>
        <v>8205</v>
      </c>
      <c r="AG411" s="341">
        <f t="shared" si="99"/>
        <v>8205</v>
      </c>
      <c r="AH411" s="382"/>
    </row>
    <row r="412" spans="1:34">
      <c r="A412" s="352" t="s">
        <v>109</v>
      </c>
      <c r="B412" s="427">
        <v>4</v>
      </c>
      <c r="C412" s="220" t="s">
        <v>45</v>
      </c>
      <c r="D412" s="379" t="s">
        <v>729</v>
      </c>
      <c r="E412"/>
      <c r="F412" s="382"/>
      <c r="G412"/>
      <c r="H412" s="382"/>
      <c r="I412"/>
      <c r="J412" t="str">
        <f t="shared" si="89"/>
        <v>VA-Yes</v>
      </c>
      <c r="K412" t="str">
        <f t="shared" si="90"/>
        <v>VA-Yes</v>
      </c>
      <c r="L412" s="415"/>
      <c r="M412" s="415"/>
      <c r="N412" s="255">
        <v>2001</v>
      </c>
      <c r="O412" s="416">
        <v>75270</v>
      </c>
      <c r="P412" s="416"/>
      <c r="Q412" s="416">
        <v>120684</v>
      </c>
      <c r="R412" s="416"/>
      <c r="S412" s="416">
        <v>4684</v>
      </c>
      <c r="T412" s="353">
        <f t="shared" si="91"/>
        <v>200638</v>
      </c>
      <c r="U412" s="228"/>
      <c r="V412" s="221">
        <f t="shared" si="92"/>
        <v>120684</v>
      </c>
      <c r="W412" s="388">
        <f t="shared" si="87"/>
        <v>75270</v>
      </c>
      <c r="X412" s="222">
        <f t="shared" si="93"/>
        <v>0.23175847392755441</v>
      </c>
      <c r="Y412" s="421">
        <f t="shared" si="100"/>
        <v>0.22634795003937447</v>
      </c>
      <c r="Z412" s="223">
        <f t="shared" si="94"/>
        <v>0.6015012111364747</v>
      </c>
      <c r="AA412" s="224" t="str">
        <f t="shared" si="88"/>
        <v>VA-No</v>
      </c>
      <c r="AB412" s="225" t="str">
        <f t="shared" si="95"/>
        <v>VA-Rep</v>
      </c>
      <c r="AC412" s="422" t="str">
        <f>C412&amp;"-"&amp;IF(Y412&gt;Instructions!$H$14,Instructions!$I$14,IF(Y412&gt;Instructions!$H$15,Instructions!$I$15,IF(Y412&gt;Instructions!$H$16,Instructions!$I$16,IF(Y412&gt;Instructions!$H$17,Instructions!$I$17,Instructions!$I$18))))</f>
        <v>VA-Landslide</v>
      </c>
      <c r="AD412" s="226">
        <f t="shared" si="96"/>
        <v>75270</v>
      </c>
      <c r="AE412" s="226">
        <f t="shared" si="97"/>
        <v>0</v>
      </c>
      <c r="AF412" s="227">
        <f t="shared" si="101"/>
        <v>4684</v>
      </c>
      <c r="AG412" s="341">
        <f t="shared" si="99"/>
        <v>79954</v>
      </c>
      <c r="AH412" s="382"/>
    </row>
    <row r="413" spans="1:34">
      <c r="A413" s="352" t="s">
        <v>109</v>
      </c>
      <c r="B413" s="427">
        <v>5</v>
      </c>
      <c r="C413" s="220" t="s">
        <v>45</v>
      </c>
      <c r="D413" s="379" t="s">
        <v>730</v>
      </c>
      <c r="E413"/>
      <c r="F413"/>
      <c r="G413"/>
      <c r="H413"/>
      <c r="I413"/>
      <c r="J413" t="str">
        <f t="shared" si="89"/>
        <v>VA-Yes</v>
      </c>
      <c r="K413" t="str">
        <f t="shared" si="90"/>
        <v>VA-Yes</v>
      </c>
      <c r="L413" s="415"/>
      <c r="M413" s="415"/>
      <c r="N413" s="255">
        <v>2010</v>
      </c>
      <c r="O413" s="416">
        <v>73482</v>
      </c>
      <c r="P413" s="416"/>
      <c r="Q413" s="416">
        <v>124735</v>
      </c>
      <c r="R413" s="416"/>
      <c r="S413" s="416">
        <v>6728</v>
      </c>
      <c r="T413" s="353">
        <f t="shared" si="91"/>
        <v>204945</v>
      </c>
      <c r="U413" s="396"/>
      <c r="V413" s="221">
        <f t="shared" si="92"/>
        <v>124735</v>
      </c>
      <c r="W413" s="388">
        <f t="shared" ref="W413:W441" si="102">LARGE(O413:S413, 2)</f>
        <v>73482</v>
      </c>
      <c r="X413" s="222">
        <f t="shared" si="93"/>
        <v>0.25857015291322138</v>
      </c>
      <c r="Y413" s="421">
        <f t="shared" si="100"/>
        <v>0.25008172924443139</v>
      </c>
      <c r="Z413" s="223">
        <f t="shared" si="94"/>
        <v>0.60862670472565805</v>
      </c>
      <c r="AA413" s="224" t="str">
        <f t="shared" si="88"/>
        <v>VA-No</v>
      </c>
      <c r="AB413" s="225" t="str">
        <f t="shared" si="95"/>
        <v>VA-Rep</v>
      </c>
      <c r="AC413" s="422" t="str">
        <f>C413&amp;"-"&amp;IF(Y413&gt;Instructions!$H$14,Instructions!$I$14,IF(Y413&gt;Instructions!$H$15,Instructions!$I$15,IF(Y413&gt;Instructions!$H$16,Instructions!$I$16,IF(Y413&gt;Instructions!$H$17,Instructions!$I$17,Instructions!$I$18))))</f>
        <v>VA-Landslide</v>
      </c>
      <c r="AD413" s="226">
        <f t="shared" si="96"/>
        <v>73482</v>
      </c>
      <c r="AE413" s="226">
        <f t="shared" si="97"/>
        <v>0</v>
      </c>
      <c r="AF413" s="227">
        <f t="shared" si="101"/>
        <v>6728</v>
      </c>
      <c r="AG413" s="341">
        <f t="shared" si="99"/>
        <v>80210</v>
      </c>
      <c r="AH413" s="380"/>
    </row>
    <row r="414" spans="1:34">
      <c r="A414" s="352" t="s">
        <v>109</v>
      </c>
      <c r="B414" s="427">
        <v>6</v>
      </c>
      <c r="C414" s="220" t="s">
        <v>45</v>
      </c>
      <c r="D414" s="379" t="s">
        <v>731</v>
      </c>
      <c r="E414"/>
      <c r="F414"/>
      <c r="G414"/>
      <c r="H414"/>
      <c r="I414"/>
      <c r="J414" t="str">
        <f t="shared" si="89"/>
        <v>VA-Yes</v>
      </c>
      <c r="K414" t="str">
        <f t="shared" si="90"/>
        <v>VA-Yes</v>
      </c>
      <c r="L414" s="415"/>
      <c r="M414" s="415"/>
      <c r="N414" s="255">
        <v>1992</v>
      </c>
      <c r="O414" s="416">
        <v>0</v>
      </c>
      <c r="P414" s="416"/>
      <c r="Q414" s="416">
        <v>133898</v>
      </c>
      <c r="R414" s="416"/>
      <c r="S414" s="416">
        <v>45810</v>
      </c>
      <c r="T414" s="353">
        <f t="shared" si="91"/>
        <v>179708</v>
      </c>
      <c r="U414" s="228"/>
      <c r="V414" s="221">
        <f t="shared" si="92"/>
        <v>133898</v>
      </c>
      <c r="W414" s="388">
        <f t="shared" si="102"/>
        <v>45810</v>
      </c>
      <c r="X414" s="222">
        <f t="shared" si="93"/>
        <v>1</v>
      </c>
      <c r="Y414" s="421">
        <f t="shared" si="100"/>
        <v>0.49017294722549914</v>
      </c>
      <c r="Z414" s="223">
        <f t="shared" si="94"/>
        <v>0.7450864736127496</v>
      </c>
      <c r="AA414" s="224" t="str">
        <f t="shared" si="88"/>
        <v>VA-Yes</v>
      </c>
      <c r="AB414" s="225" t="str">
        <f t="shared" si="95"/>
        <v>VA-Rep</v>
      </c>
      <c r="AC414" s="422" t="str">
        <f>C414&amp;"-"&amp;IF(Y414&gt;Instructions!$H$14,Instructions!$I$14,IF(Y414&gt;Instructions!$H$15,Instructions!$I$15,IF(Y414&gt;Instructions!$H$16,Instructions!$I$16,IF(Y414&gt;Instructions!$H$17,Instructions!$I$17,Instructions!$I$18))))</f>
        <v>VA-No contest</v>
      </c>
      <c r="AD414" s="226">
        <f t="shared" si="96"/>
        <v>0</v>
      </c>
      <c r="AE414" s="226">
        <f t="shared" si="97"/>
        <v>0</v>
      </c>
      <c r="AF414" s="227">
        <f t="shared" si="101"/>
        <v>45810</v>
      </c>
      <c r="AG414" s="341">
        <f t="shared" si="99"/>
        <v>45810</v>
      </c>
    </row>
    <row r="415" spans="1:34">
      <c r="A415" s="352" t="s">
        <v>109</v>
      </c>
      <c r="B415" s="427">
        <v>7</v>
      </c>
      <c r="C415" s="220" t="s">
        <v>45</v>
      </c>
      <c r="D415" s="379" t="s">
        <v>821</v>
      </c>
      <c r="E415" s="379"/>
      <c r="F415" s="379"/>
      <c r="G415"/>
      <c r="H415"/>
      <c r="I415"/>
      <c r="J415" t="str">
        <f t="shared" si="89"/>
        <v>VA-No</v>
      </c>
      <c r="K415" t="str">
        <f t="shared" si="90"/>
        <v>VA-No</v>
      </c>
      <c r="L415" s="415">
        <v>0</v>
      </c>
      <c r="M415" s="352"/>
      <c r="N415" s="255">
        <v>2014</v>
      </c>
      <c r="O415" s="416">
        <v>89914</v>
      </c>
      <c r="P415" s="416"/>
      <c r="Q415" s="416">
        <v>148026</v>
      </c>
      <c r="R415" s="416"/>
      <c r="S415" s="416">
        <v>5411</v>
      </c>
      <c r="T415" s="353">
        <f t="shared" si="91"/>
        <v>243351</v>
      </c>
      <c r="U415" s="396"/>
      <c r="V415" s="221">
        <f t="shared" si="92"/>
        <v>148026</v>
      </c>
      <c r="W415" s="388">
        <f t="shared" si="102"/>
        <v>89914</v>
      </c>
      <c r="X415" s="222">
        <f t="shared" si="93"/>
        <v>0.24422963772379591</v>
      </c>
      <c r="Y415" s="421">
        <f t="shared" si="100"/>
        <v>0.23879910088719586</v>
      </c>
      <c r="Z415" s="223">
        <f t="shared" si="94"/>
        <v>0.60828186446737431</v>
      </c>
      <c r="AA415" s="224" t="str">
        <f t="shared" si="88"/>
        <v>VA-No</v>
      </c>
      <c r="AB415" s="225" t="str">
        <f t="shared" si="95"/>
        <v>VA-Rep</v>
      </c>
      <c r="AC415" s="422" t="str">
        <f>C415&amp;"-"&amp;IF(Y415&gt;Instructions!$H$14,Instructions!$I$14,IF(Y415&gt;Instructions!$H$15,Instructions!$I$15,IF(Y415&gt;Instructions!$H$16,Instructions!$I$16,IF(Y415&gt;Instructions!$H$17,Instructions!$I$17,Instructions!$I$18))))</f>
        <v>VA-Landslide</v>
      </c>
      <c r="AD415" s="226">
        <f t="shared" si="96"/>
        <v>89914</v>
      </c>
      <c r="AE415" s="226">
        <f t="shared" si="97"/>
        <v>0</v>
      </c>
      <c r="AF415" s="227">
        <f t="shared" si="101"/>
        <v>5411</v>
      </c>
      <c r="AG415" s="341">
        <f t="shared" si="99"/>
        <v>95325</v>
      </c>
    </row>
    <row r="416" spans="1:34">
      <c r="A416" s="352" t="s">
        <v>109</v>
      </c>
      <c r="B416" s="427">
        <v>8</v>
      </c>
      <c r="C416" s="220" t="s">
        <v>45</v>
      </c>
      <c r="D416" s="379" t="s">
        <v>822</v>
      </c>
      <c r="E416"/>
      <c r="F416"/>
      <c r="G416"/>
      <c r="H416"/>
      <c r="I416"/>
      <c r="J416" t="str">
        <f t="shared" si="89"/>
        <v>VA-No</v>
      </c>
      <c r="K416" t="str">
        <f t="shared" si="90"/>
        <v>VA-No</v>
      </c>
      <c r="L416" s="415">
        <v>0</v>
      </c>
      <c r="M416" s="417"/>
      <c r="N416" s="255">
        <v>2014</v>
      </c>
      <c r="O416" s="416">
        <v>128102</v>
      </c>
      <c r="P416" s="416"/>
      <c r="Q416" s="416">
        <v>63810</v>
      </c>
      <c r="R416" s="416"/>
      <c r="S416" s="416">
        <v>11164</v>
      </c>
      <c r="T416" s="353">
        <f t="shared" si="91"/>
        <v>203076</v>
      </c>
      <c r="U416" s="228"/>
      <c r="V416" s="221">
        <f t="shared" si="92"/>
        <v>128102</v>
      </c>
      <c r="W416" s="388">
        <f t="shared" si="102"/>
        <v>63810</v>
      </c>
      <c r="X416" s="222">
        <f t="shared" si="93"/>
        <v>0.33500771186793948</v>
      </c>
      <c r="Y416" s="421">
        <f t="shared" si="100"/>
        <v>0.31659083298863483</v>
      </c>
      <c r="Z416" s="223">
        <f t="shared" si="94"/>
        <v>0.63080817034016823</v>
      </c>
      <c r="AA416" s="224" t="str">
        <f t="shared" si="88"/>
        <v>VA-No</v>
      </c>
      <c r="AB416" s="225" t="str">
        <f t="shared" si="95"/>
        <v>VA-Dem</v>
      </c>
      <c r="AC416" s="422" t="str">
        <f>C416&amp;"-"&amp;IF(Y416&gt;Instructions!$H$14,Instructions!$I$14,IF(Y416&gt;Instructions!$H$15,Instructions!$I$15,IF(Y416&gt;Instructions!$H$16,Instructions!$I$16,IF(Y416&gt;Instructions!$H$17,Instructions!$I$17,Instructions!$I$18))))</f>
        <v>VA-Landslide</v>
      </c>
      <c r="AD416" s="226">
        <f t="shared" si="96"/>
        <v>0</v>
      </c>
      <c r="AE416" s="226">
        <f t="shared" si="97"/>
        <v>63810</v>
      </c>
      <c r="AF416" s="227">
        <f t="shared" si="101"/>
        <v>11164</v>
      </c>
      <c r="AG416" s="341">
        <f t="shared" si="99"/>
        <v>74974</v>
      </c>
    </row>
    <row r="417" spans="1:34">
      <c r="A417" s="352" t="s">
        <v>109</v>
      </c>
      <c r="B417" s="427">
        <v>9</v>
      </c>
      <c r="C417" s="220" t="s">
        <v>45</v>
      </c>
      <c r="D417" s="379" t="s">
        <v>732</v>
      </c>
      <c r="E417"/>
      <c r="F417"/>
      <c r="G417"/>
      <c r="H417"/>
      <c r="I417"/>
      <c r="J417" t="str">
        <f t="shared" si="89"/>
        <v>VA-Yes</v>
      </c>
      <c r="K417" t="str">
        <f t="shared" si="90"/>
        <v>VA-Yes</v>
      </c>
      <c r="L417" s="415"/>
      <c r="M417" s="415"/>
      <c r="N417" s="255">
        <v>2010</v>
      </c>
      <c r="O417" s="416">
        <v>0</v>
      </c>
      <c r="P417" s="416"/>
      <c r="Q417" s="416">
        <v>117465</v>
      </c>
      <c r="R417" s="416"/>
      <c r="S417" s="416">
        <v>45350</v>
      </c>
      <c r="T417" s="353">
        <f t="shared" si="91"/>
        <v>162815</v>
      </c>
      <c r="U417" s="228"/>
      <c r="V417" s="221">
        <f t="shared" si="92"/>
        <v>117465</v>
      </c>
      <c r="W417" s="388">
        <v>39412</v>
      </c>
      <c r="X417" s="222">
        <f t="shared" si="93"/>
        <v>1</v>
      </c>
      <c r="Y417" s="421">
        <f t="shared" si="100"/>
        <v>0.47939686146853788</v>
      </c>
      <c r="Z417" s="223">
        <f t="shared" si="94"/>
        <v>0.7214630101649111</v>
      </c>
      <c r="AA417" s="224" t="str">
        <f t="shared" si="88"/>
        <v>VA-Yes</v>
      </c>
      <c r="AB417" s="225" t="str">
        <f t="shared" si="95"/>
        <v>VA-Rep</v>
      </c>
      <c r="AC417" s="422" t="str">
        <f>C417&amp;"-"&amp;IF(Y417&gt;Instructions!$H$14,Instructions!$I$14,IF(Y417&gt;Instructions!$H$15,Instructions!$I$15,IF(Y417&gt;Instructions!$H$16,Instructions!$I$16,IF(Y417&gt;Instructions!$H$17,Instructions!$I$17,Instructions!$I$18))))</f>
        <v>VA-No contest</v>
      </c>
      <c r="AD417" s="226">
        <f t="shared" si="96"/>
        <v>0</v>
      </c>
      <c r="AE417" s="226">
        <f t="shared" si="97"/>
        <v>0</v>
      </c>
      <c r="AF417" s="227">
        <f t="shared" si="101"/>
        <v>45350</v>
      </c>
      <c r="AG417" s="341">
        <f t="shared" si="99"/>
        <v>45350</v>
      </c>
    </row>
    <row r="418" spans="1:34">
      <c r="A418" s="352" t="s">
        <v>109</v>
      </c>
      <c r="B418" s="427">
        <v>10</v>
      </c>
      <c r="C418" s="220" t="s">
        <v>45</v>
      </c>
      <c r="D418" s="379" t="s">
        <v>823</v>
      </c>
      <c r="E418" t="s">
        <v>374</v>
      </c>
      <c r="F418"/>
      <c r="G418"/>
      <c r="H418"/>
      <c r="I418"/>
      <c r="J418" t="str">
        <f t="shared" si="89"/>
        <v>VA-No</v>
      </c>
      <c r="K418" t="str">
        <f t="shared" si="90"/>
        <v>VA-No</v>
      </c>
      <c r="L418" s="415">
        <v>0</v>
      </c>
      <c r="M418" s="415"/>
      <c r="N418" s="255">
        <v>2014</v>
      </c>
      <c r="O418" s="416">
        <v>89957</v>
      </c>
      <c r="P418" s="416"/>
      <c r="Q418" s="416">
        <v>125914</v>
      </c>
      <c r="R418" s="416"/>
      <c r="S418" s="416">
        <v>7039</v>
      </c>
      <c r="T418" s="353">
        <f t="shared" si="91"/>
        <v>222910</v>
      </c>
      <c r="U418" s="228"/>
      <c r="V418" s="221">
        <f t="shared" si="92"/>
        <v>125914</v>
      </c>
      <c r="W418" s="388">
        <f t="shared" si="102"/>
        <v>89957</v>
      </c>
      <c r="X418" s="222">
        <f t="shared" si="93"/>
        <v>0.16656707014837566</v>
      </c>
      <c r="Y418" s="421">
        <f t="shared" si="100"/>
        <v>0.16130725404871915</v>
      </c>
      <c r="Z418" s="223">
        <f t="shared" si="94"/>
        <v>0.5648647436185007</v>
      </c>
      <c r="AA418" s="224" t="str">
        <f t="shared" si="88"/>
        <v>VA-No</v>
      </c>
      <c r="AB418" s="225" t="str">
        <f t="shared" si="95"/>
        <v>VA-Rep</v>
      </c>
      <c r="AC418" s="422" t="str">
        <f>C418&amp;"-"&amp;IF(Y418&gt;Instructions!$H$14,Instructions!$I$14,IF(Y418&gt;Instructions!$H$15,Instructions!$I$15,IF(Y418&gt;Instructions!$H$16,Instructions!$I$16,IF(Y418&gt;Instructions!$H$17,Instructions!$I$17,Instructions!$I$18))))</f>
        <v>VA-Opportunity</v>
      </c>
      <c r="AD418" s="226">
        <f t="shared" si="96"/>
        <v>89957</v>
      </c>
      <c r="AE418" s="226">
        <f t="shared" si="97"/>
        <v>0</v>
      </c>
      <c r="AF418" s="227">
        <f t="shared" si="101"/>
        <v>7039</v>
      </c>
      <c r="AG418" s="341">
        <f t="shared" si="99"/>
        <v>96996</v>
      </c>
    </row>
    <row r="419" spans="1:34">
      <c r="A419" s="352" t="s">
        <v>109</v>
      </c>
      <c r="B419" s="427">
        <v>11</v>
      </c>
      <c r="C419" s="220" t="s">
        <v>45</v>
      </c>
      <c r="D419" s="379" t="s">
        <v>733</v>
      </c>
      <c r="E419"/>
      <c r="F419"/>
      <c r="G419"/>
      <c r="H419"/>
      <c r="I419"/>
      <c r="J419" t="str">
        <f t="shared" si="89"/>
        <v>VA-Yes</v>
      </c>
      <c r="K419" t="str">
        <f t="shared" si="90"/>
        <v>VA-Yes</v>
      </c>
      <c r="L419" s="417"/>
      <c r="M419" s="417"/>
      <c r="N419" s="255">
        <v>2008</v>
      </c>
      <c r="O419" s="416">
        <v>106780</v>
      </c>
      <c r="P419" s="416"/>
      <c r="Q419" s="416">
        <v>75796</v>
      </c>
      <c r="R419" s="416"/>
      <c r="S419" s="416">
        <v>5229</v>
      </c>
      <c r="T419" s="353">
        <f t="shared" si="91"/>
        <v>187805</v>
      </c>
      <c r="U419" s="228"/>
      <c r="V419" s="221">
        <f t="shared" si="92"/>
        <v>106780</v>
      </c>
      <c r="W419" s="388">
        <f t="shared" si="102"/>
        <v>75796</v>
      </c>
      <c r="X419" s="222">
        <f t="shared" si="93"/>
        <v>0.16970467093155728</v>
      </c>
      <c r="Y419" s="421">
        <f t="shared" si="100"/>
        <v>0.16497963313010833</v>
      </c>
      <c r="Z419" s="223">
        <f t="shared" si="94"/>
        <v>0.56856846196853117</v>
      </c>
      <c r="AA419" s="224" t="str">
        <f t="shared" si="88"/>
        <v>VA-No</v>
      </c>
      <c r="AB419" s="225" t="str">
        <f t="shared" si="95"/>
        <v>VA-Dem</v>
      </c>
      <c r="AC419" s="422" t="str">
        <f>C419&amp;"-"&amp;IF(Y419&gt;Instructions!$H$14,Instructions!$I$14,IF(Y419&gt;Instructions!$H$15,Instructions!$I$15,IF(Y419&gt;Instructions!$H$16,Instructions!$I$16,IF(Y419&gt;Instructions!$H$17,Instructions!$I$17,Instructions!$I$18))))</f>
        <v>VA-Opportunity</v>
      </c>
      <c r="AD419" s="226">
        <f t="shared" si="96"/>
        <v>0</v>
      </c>
      <c r="AE419" s="226">
        <f t="shared" si="97"/>
        <v>75796</v>
      </c>
      <c r="AF419" s="227">
        <f t="shared" si="101"/>
        <v>5229</v>
      </c>
      <c r="AG419" s="341">
        <f t="shared" si="99"/>
        <v>81025</v>
      </c>
    </row>
    <row r="420" spans="1:34">
      <c r="A420" s="352" t="s">
        <v>110</v>
      </c>
      <c r="B420" s="427">
        <v>1</v>
      </c>
      <c r="C420" s="220" t="s">
        <v>46</v>
      </c>
      <c r="D420" s="379" t="s">
        <v>734</v>
      </c>
      <c r="E420" s="414" t="s">
        <v>375</v>
      </c>
      <c r="F420"/>
      <c r="G420"/>
      <c r="H420"/>
      <c r="I420"/>
      <c r="J420" t="str">
        <f t="shared" si="89"/>
        <v>WA-Yes</v>
      </c>
      <c r="K420" t="str">
        <f t="shared" si="90"/>
        <v>WA-Yes</v>
      </c>
      <c r="L420" s="354"/>
      <c r="M420" s="354"/>
      <c r="N420" s="255">
        <v>2012</v>
      </c>
      <c r="O420" s="416">
        <v>124151</v>
      </c>
      <c r="P420" s="416"/>
      <c r="Q420" s="416">
        <v>101428</v>
      </c>
      <c r="R420" s="416"/>
      <c r="S420" s="416">
        <v>0</v>
      </c>
      <c r="T420" s="353">
        <f t="shared" si="91"/>
        <v>225579</v>
      </c>
      <c r="U420" s="228"/>
      <c r="V420" s="221">
        <f t="shared" si="92"/>
        <v>124151</v>
      </c>
      <c r="W420" s="388">
        <f t="shared" si="102"/>
        <v>101428</v>
      </c>
      <c r="X420" s="222">
        <f t="shared" si="93"/>
        <v>0.10073189436960001</v>
      </c>
      <c r="Y420" s="421">
        <f t="shared" si="100"/>
        <v>0.10073189436960006</v>
      </c>
      <c r="Z420" s="223">
        <f t="shared" si="94"/>
        <v>0.55036594718480003</v>
      </c>
      <c r="AA420" s="224" t="str">
        <f t="shared" si="88"/>
        <v>WA-No</v>
      </c>
      <c r="AB420" s="225" t="str">
        <f t="shared" si="95"/>
        <v>WA-Dem</v>
      </c>
      <c r="AC420" s="422" t="str">
        <f>C420&amp;"-"&amp;IF(Y420&gt;Instructions!$H$14,Instructions!$I$14,IF(Y420&gt;Instructions!$H$15,Instructions!$I$15,IF(Y420&gt;Instructions!$H$16,Instructions!$I$16,IF(Y420&gt;Instructions!$H$17,Instructions!$I$17,Instructions!$I$18))))</f>
        <v>WA-Opportunity</v>
      </c>
      <c r="AD420" s="226">
        <f t="shared" si="96"/>
        <v>0</v>
      </c>
      <c r="AE420" s="226">
        <f t="shared" si="97"/>
        <v>101428</v>
      </c>
      <c r="AF420" s="227">
        <f t="shared" si="101"/>
        <v>0</v>
      </c>
      <c r="AG420" s="341">
        <f t="shared" si="99"/>
        <v>101428</v>
      </c>
      <c r="AH420" s="413">
        <f>SUM(AG410:AG420)</f>
        <v>780779</v>
      </c>
    </row>
    <row r="421" spans="1:34">
      <c r="A421" s="352" t="s">
        <v>110</v>
      </c>
      <c r="B421" s="427">
        <v>2</v>
      </c>
      <c r="C421" s="220" t="s">
        <v>46</v>
      </c>
      <c r="D421" s="379" t="s">
        <v>735</v>
      </c>
      <c r="E421"/>
      <c r="F421"/>
      <c r="G421"/>
      <c r="H421"/>
      <c r="I421"/>
      <c r="J421" t="str">
        <f t="shared" si="89"/>
        <v>WA-Yes</v>
      </c>
      <c r="K421" t="str">
        <f t="shared" si="90"/>
        <v>WA-Yes</v>
      </c>
      <c r="L421" s="354"/>
      <c r="M421" s="354"/>
      <c r="N421" s="255">
        <v>2000</v>
      </c>
      <c r="O421" s="416">
        <v>122173</v>
      </c>
      <c r="P421" s="416"/>
      <c r="Q421" s="416">
        <v>79518</v>
      </c>
      <c r="R421" s="416"/>
      <c r="S421" s="416">
        <v>0</v>
      </c>
      <c r="T421" s="353">
        <f t="shared" si="91"/>
        <v>201691</v>
      </c>
      <c r="U421" s="228"/>
      <c r="V421" s="221">
        <f t="shared" si="92"/>
        <v>122173</v>
      </c>
      <c r="W421" s="388">
        <f t="shared" si="102"/>
        <v>79518</v>
      </c>
      <c r="X421" s="222">
        <f t="shared" si="93"/>
        <v>0.2114868784427664</v>
      </c>
      <c r="Y421" s="421">
        <f t="shared" si="100"/>
        <v>0.21148687844276637</v>
      </c>
      <c r="Z421" s="223">
        <f t="shared" si="94"/>
        <v>0.60574343922138318</v>
      </c>
      <c r="AA421" s="224" t="str">
        <f t="shared" si="88"/>
        <v>WA-No</v>
      </c>
      <c r="AB421" s="225" t="str">
        <f t="shared" si="95"/>
        <v>WA-Dem</v>
      </c>
      <c r="AC421" s="422" t="str">
        <f>C421&amp;"-"&amp;IF(Y421&gt;Instructions!$H$14,Instructions!$I$14,IF(Y421&gt;Instructions!$H$15,Instructions!$I$15,IF(Y421&gt;Instructions!$H$16,Instructions!$I$16,IF(Y421&gt;Instructions!$H$17,Instructions!$I$17,Instructions!$I$18))))</f>
        <v>WA-Landslide</v>
      </c>
      <c r="AD421" s="226">
        <f t="shared" si="96"/>
        <v>0</v>
      </c>
      <c r="AE421" s="226">
        <f t="shared" si="97"/>
        <v>79518</v>
      </c>
      <c r="AF421" s="227">
        <f t="shared" si="101"/>
        <v>0</v>
      </c>
      <c r="AG421" s="341">
        <f t="shared" si="99"/>
        <v>79518</v>
      </c>
    </row>
    <row r="422" spans="1:34">
      <c r="A422" s="352" t="s">
        <v>110</v>
      </c>
      <c r="B422" s="427">
        <v>3</v>
      </c>
      <c r="C422" s="220" t="s">
        <v>46</v>
      </c>
      <c r="D422" s="379" t="s">
        <v>736</v>
      </c>
      <c r="E422" s="414" t="s">
        <v>375</v>
      </c>
      <c r="F422"/>
      <c r="G422" s="414" t="s">
        <v>375</v>
      </c>
      <c r="H422"/>
      <c r="I422"/>
      <c r="J422" t="str">
        <f t="shared" si="89"/>
        <v>WA-Yes</v>
      </c>
      <c r="K422" t="str">
        <f t="shared" si="90"/>
        <v>WA-Yes</v>
      </c>
      <c r="L422" s="352"/>
      <c r="M422" s="352"/>
      <c r="N422" s="255">
        <v>2010</v>
      </c>
      <c r="O422" s="416">
        <v>78018</v>
      </c>
      <c r="P422" s="416"/>
      <c r="Q422" s="416">
        <v>124796</v>
      </c>
      <c r="R422" s="416"/>
      <c r="S422" s="416">
        <v>0</v>
      </c>
      <c r="T422" s="353">
        <f t="shared" si="91"/>
        <v>202814</v>
      </c>
      <c r="U422" s="228"/>
      <c r="V422" s="221">
        <f t="shared" si="92"/>
        <v>124796</v>
      </c>
      <c r="W422" s="388">
        <f t="shared" si="102"/>
        <v>78018</v>
      </c>
      <c r="X422" s="222">
        <f t="shared" si="93"/>
        <v>0.23064482728016802</v>
      </c>
      <c r="Y422" s="421">
        <f t="shared" si="100"/>
        <v>0.230644827280168</v>
      </c>
      <c r="Z422" s="223">
        <f t="shared" si="94"/>
        <v>0.615322413640084</v>
      </c>
      <c r="AA422" s="224" t="str">
        <f t="shared" si="88"/>
        <v>WA-No</v>
      </c>
      <c r="AB422" s="225" t="str">
        <f t="shared" si="95"/>
        <v>WA-Rep</v>
      </c>
      <c r="AC422" s="422" t="str">
        <f>C422&amp;"-"&amp;IF(Y422&gt;Instructions!$H$14,Instructions!$I$14,IF(Y422&gt;Instructions!$H$15,Instructions!$I$15,IF(Y422&gt;Instructions!$H$16,Instructions!$I$16,IF(Y422&gt;Instructions!$H$17,Instructions!$I$17,Instructions!$I$18))))</f>
        <v>WA-Landslide</v>
      </c>
      <c r="AD422" s="226">
        <f t="shared" si="96"/>
        <v>78018</v>
      </c>
      <c r="AE422" s="226">
        <f t="shared" si="97"/>
        <v>0</v>
      </c>
      <c r="AF422" s="227">
        <f t="shared" si="101"/>
        <v>0</v>
      </c>
      <c r="AG422" s="341">
        <f t="shared" si="99"/>
        <v>78018</v>
      </c>
    </row>
    <row r="423" spans="1:34">
      <c r="A423" s="352" t="s">
        <v>110</v>
      </c>
      <c r="B423" s="427">
        <v>4</v>
      </c>
      <c r="C423" s="220" t="s">
        <v>46</v>
      </c>
      <c r="D423" s="379" t="s">
        <v>824</v>
      </c>
      <c r="E423" s="381"/>
      <c r="F423"/>
      <c r="G423" s="381"/>
      <c r="H423"/>
      <c r="I423"/>
      <c r="J423" t="str">
        <f t="shared" si="89"/>
        <v>WA-No</v>
      </c>
      <c r="K423" t="str">
        <f t="shared" si="90"/>
        <v>WA-No</v>
      </c>
      <c r="L423" s="415">
        <v>0</v>
      </c>
      <c r="M423" s="415"/>
      <c r="N423" s="255">
        <v>2014</v>
      </c>
      <c r="O423" s="416">
        <v>0</v>
      </c>
      <c r="P423" s="416"/>
      <c r="Q423" s="416">
        <v>77772</v>
      </c>
      <c r="R423" s="416">
        <v>75307</v>
      </c>
      <c r="S423" s="416">
        <v>0</v>
      </c>
      <c r="T423" s="353">
        <f t="shared" si="91"/>
        <v>153079</v>
      </c>
      <c r="U423" s="228"/>
      <c r="V423" s="221">
        <f t="shared" si="92"/>
        <v>77772</v>
      </c>
      <c r="W423" s="388">
        <f t="shared" si="102"/>
        <v>75307</v>
      </c>
      <c r="X423" s="222">
        <f t="shared" si="93"/>
        <v>1</v>
      </c>
      <c r="Y423" s="421">
        <f t="shared" si="100"/>
        <v>1.6102796595222069E-2</v>
      </c>
      <c r="Z423" s="223">
        <f t="shared" si="94"/>
        <v>0.50805139829761103</v>
      </c>
      <c r="AA423" s="224" t="str">
        <f t="shared" si="88"/>
        <v>WA-Yes</v>
      </c>
      <c r="AB423" s="225" t="str">
        <f t="shared" si="95"/>
        <v>WA-Rep</v>
      </c>
      <c r="AC423" s="422" t="str">
        <f>C423&amp;"-"&amp;IF(Y423&gt;Instructions!$H$14,Instructions!$I$14,IF(Y423&gt;Instructions!$H$15,Instructions!$I$15,IF(Y423&gt;Instructions!$H$16,Instructions!$I$16,IF(Y423&gt;Instructions!$H$17,Instructions!$I$17,Instructions!$I$18))))</f>
        <v>WA-Tight</v>
      </c>
      <c r="AD423" s="226">
        <f t="shared" si="96"/>
        <v>0</v>
      </c>
      <c r="AE423" s="226">
        <f t="shared" si="97"/>
        <v>0</v>
      </c>
      <c r="AF423" s="227">
        <f t="shared" si="101"/>
        <v>0</v>
      </c>
      <c r="AG423" s="341">
        <f t="shared" si="99"/>
        <v>0</v>
      </c>
    </row>
    <row r="424" spans="1:34">
      <c r="A424" s="352" t="s">
        <v>110</v>
      </c>
      <c r="B424" s="427">
        <v>5</v>
      </c>
      <c r="C424" s="220" t="s">
        <v>46</v>
      </c>
      <c r="D424" s="379" t="s">
        <v>737</v>
      </c>
      <c r="E424" s="414" t="s">
        <v>375</v>
      </c>
      <c r="F424"/>
      <c r="G424"/>
      <c r="H424"/>
      <c r="I424"/>
      <c r="J424" t="str">
        <f t="shared" si="89"/>
        <v>WA-Yes</v>
      </c>
      <c r="K424" t="str">
        <f t="shared" si="90"/>
        <v>WA-Yes</v>
      </c>
      <c r="L424" s="415"/>
      <c r="M424" s="415"/>
      <c r="N424" s="255">
        <v>2004</v>
      </c>
      <c r="O424" s="416">
        <v>87772</v>
      </c>
      <c r="P424" s="416"/>
      <c r="Q424" s="416">
        <v>135470</v>
      </c>
      <c r="R424" s="416"/>
      <c r="S424" s="416">
        <v>0</v>
      </c>
      <c r="T424" s="353">
        <f t="shared" si="91"/>
        <v>223242</v>
      </c>
      <c r="U424" s="228"/>
      <c r="V424" s="221">
        <f t="shared" si="92"/>
        <v>135470</v>
      </c>
      <c r="W424" s="388">
        <f t="shared" si="102"/>
        <v>87772</v>
      </c>
      <c r="X424" s="222">
        <f t="shared" si="93"/>
        <v>0.21366051191084115</v>
      </c>
      <c r="Y424" s="421">
        <f t="shared" si="100"/>
        <v>0.21366051191084118</v>
      </c>
      <c r="Z424" s="223">
        <f t="shared" si="94"/>
        <v>0.60683025595542062</v>
      </c>
      <c r="AA424" s="224" t="str">
        <f t="shared" si="88"/>
        <v>WA-No</v>
      </c>
      <c r="AB424" s="225" t="str">
        <f t="shared" si="95"/>
        <v>WA-Rep</v>
      </c>
      <c r="AC424" s="422" t="str">
        <f>C424&amp;"-"&amp;IF(Y424&gt;Instructions!$H$14,Instructions!$I$14,IF(Y424&gt;Instructions!$H$15,Instructions!$I$15,IF(Y424&gt;Instructions!$H$16,Instructions!$I$16,IF(Y424&gt;Instructions!$H$17,Instructions!$I$17,Instructions!$I$18))))</f>
        <v>WA-Landslide</v>
      </c>
      <c r="AD424" s="226">
        <f t="shared" si="96"/>
        <v>87772</v>
      </c>
      <c r="AE424" s="226">
        <f t="shared" si="97"/>
        <v>0</v>
      </c>
      <c r="AF424" s="227">
        <f t="shared" si="101"/>
        <v>0</v>
      </c>
      <c r="AG424" s="341">
        <f t="shared" si="99"/>
        <v>87772</v>
      </c>
    </row>
    <row r="425" spans="1:34">
      <c r="A425" s="352" t="s">
        <v>110</v>
      </c>
      <c r="B425" s="427">
        <v>6</v>
      </c>
      <c r="C425" s="220" t="s">
        <v>46</v>
      </c>
      <c r="D425" s="379" t="s">
        <v>738</v>
      </c>
      <c r="E425" s="414"/>
      <c r="F425" s="379"/>
      <c r="G425"/>
      <c r="H425"/>
      <c r="I425"/>
      <c r="J425" t="str">
        <f t="shared" si="89"/>
        <v>WA-Yes</v>
      </c>
      <c r="K425" t="str">
        <f t="shared" si="90"/>
        <v>WA-Yes</v>
      </c>
      <c r="L425" s="417"/>
      <c r="M425" s="417"/>
      <c r="N425" s="255">
        <v>2012</v>
      </c>
      <c r="O425" s="416">
        <v>141265</v>
      </c>
      <c r="P425" s="416"/>
      <c r="Q425" s="416">
        <v>83025</v>
      </c>
      <c r="R425" s="416"/>
      <c r="S425" s="416">
        <v>0</v>
      </c>
      <c r="T425" s="353">
        <f t="shared" si="91"/>
        <v>224290</v>
      </c>
      <c r="U425" s="228"/>
      <c r="V425" s="221">
        <f t="shared" si="92"/>
        <v>141265</v>
      </c>
      <c r="W425" s="388">
        <f t="shared" si="102"/>
        <v>83025</v>
      </c>
      <c r="X425" s="222">
        <f t="shared" si="93"/>
        <v>0.25966382807971822</v>
      </c>
      <c r="Y425" s="421">
        <f t="shared" si="100"/>
        <v>0.25966382807971827</v>
      </c>
      <c r="Z425" s="223">
        <f t="shared" si="94"/>
        <v>0.62983191403985916</v>
      </c>
      <c r="AA425" s="224" t="str">
        <f t="shared" si="88"/>
        <v>WA-No</v>
      </c>
      <c r="AB425" s="225" t="str">
        <f t="shared" si="95"/>
        <v>WA-Dem</v>
      </c>
      <c r="AC425" s="422" t="str">
        <f>C425&amp;"-"&amp;IF(Y425&gt;Instructions!$H$14,Instructions!$I$14,IF(Y425&gt;Instructions!$H$15,Instructions!$I$15,IF(Y425&gt;Instructions!$H$16,Instructions!$I$16,IF(Y425&gt;Instructions!$H$17,Instructions!$I$17,Instructions!$I$18))))</f>
        <v>WA-Landslide</v>
      </c>
      <c r="AD425" s="226">
        <f t="shared" si="96"/>
        <v>0</v>
      </c>
      <c r="AE425" s="226">
        <f t="shared" si="97"/>
        <v>83025</v>
      </c>
      <c r="AF425" s="227">
        <f t="shared" si="101"/>
        <v>0</v>
      </c>
      <c r="AG425" s="341">
        <f t="shared" si="99"/>
        <v>83025</v>
      </c>
    </row>
    <row r="426" spans="1:34">
      <c r="A426" s="352" t="s">
        <v>110</v>
      </c>
      <c r="B426" s="427">
        <v>7</v>
      </c>
      <c r="C426" s="220" t="s">
        <v>46</v>
      </c>
      <c r="D426" s="379" t="s">
        <v>739</v>
      </c>
      <c r="E426"/>
      <c r="F426"/>
      <c r="G426"/>
      <c r="H426"/>
      <c r="I426"/>
      <c r="J426" t="str">
        <f t="shared" si="89"/>
        <v>WA-Yes</v>
      </c>
      <c r="K426" t="str">
        <f t="shared" si="90"/>
        <v>WA-Yes</v>
      </c>
      <c r="L426" s="417"/>
      <c r="M426" s="417"/>
      <c r="N426" s="255">
        <v>1988</v>
      </c>
      <c r="O426" s="416">
        <v>203954</v>
      </c>
      <c r="P426" s="416"/>
      <c r="Q426" s="416">
        <v>47921</v>
      </c>
      <c r="R426" s="416"/>
      <c r="S426" s="416">
        <v>0</v>
      </c>
      <c r="T426" s="353">
        <f t="shared" si="91"/>
        <v>251875</v>
      </c>
      <c r="U426" s="228"/>
      <c r="V426" s="221">
        <f t="shared" si="92"/>
        <v>203954</v>
      </c>
      <c r="W426" s="388">
        <f t="shared" si="102"/>
        <v>47921</v>
      </c>
      <c r="X426" s="222">
        <f t="shared" si="93"/>
        <v>0.61948585607940443</v>
      </c>
      <c r="Y426" s="421">
        <f t="shared" si="100"/>
        <v>0.61948585607940454</v>
      </c>
      <c r="Z426" s="223">
        <f t="shared" si="94"/>
        <v>0.80974292803970227</v>
      </c>
      <c r="AA426" s="224" t="str">
        <f t="shared" si="88"/>
        <v>WA-No</v>
      </c>
      <c r="AB426" s="225" t="str">
        <f t="shared" si="95"/>
        <v>WA-Dem</v>
      </c>
      <c r="AC426" s="422" t="str">
        <f>C426&amp;"-"&amp;IF(Y426&gt;Instructions!$H$14,Instructions!$I$14,IF(Y426&gt;Instructions!$H$15,Instructions!$I$15,IF(Y426&gt;Instructions!$H$16,Instructions!$I$16,IF(Y426&gt;Instructions!$H$17,Instructions!$I$17,Instructions!$I$18))))</f>
        <v>WA-No contest</v>
      </c>
      <c r="AD426" s="226">
        <f t="shared" si="96"/>
        <v>0</v>
      </c>
      <c r="AE426" s="226">
        <f t="shared" si="97"/>
        <v>47921</v>
      </c>
      <c r="AF426" s="227">
        <f t="shared" si="101"/>
        <v>0</v>
      </c>
      <c r="AG426" s="341">
        <f t="shared" si="99"/>
        <v>47921</v>
      </c>
    </row>
    <row r="427" spans="1:34">
      <c r="A427" s="352" t="s">
        <v>110</v>
      </c>
      <c r="B427" s="427">
        <v>8</v>
      </c>
      <c r="C427" s="220" t="s">
        <v>46</v>
      </c>
      <c r="D427" s="379" t="s">
        <v>740</v>
      </c>
      <c r="E427" s="379"/>
      <c r="F427"/>
      <c r="G427"/>
      <c r="H427"/>
      <c r="I427"/>
      <c r="J427" t="str">
        <f t="shared" si="89"/>
        <v>WA-Yes</v>
      </c>
      <c r="K427" t="str">
        <f t="shared" si="90"/>
        <v>WA-Yes</v>
      </c>
      <c r="L427" s="415"/>
      <c r="M427" s="415"/>
      <c r="N427" s="255">
        <v>2004</v>
      </c>
      <c r="O427" s="416">
        <v>73003</v>
      </c>
      <c r="P427" s="416"/>
      <c r="Q427" s="416">
        <v>125741</v>
      </c>
      <c r="R427" s="416"/>
      <c r="S427" s="416">
        <v>0</v>
      </c>
      <c r="T427" s="353">
        <f t="shared" si="91"/>
        <v>198744</v>
      </c>
      <c r="U427" s="228"/>
      <c r="V427" s="221">
        <f t="shared" si="92"/>
        <v>125741</v>
      </c>
      <c r="W427" s="388">
        <f t="shared" si="102"/>
        <v>73003</v>
      </c>
      <c r="X427" s="222">
        <f t="shared" si="93"/>
        <v>0.26535643843336149</v>
      </c>
      <c r="Y427" s="421">
        <f t="shared" si="100"/>
        <v>0.26535643843336154</v>
      </c>
      <c r="Z427" s="223">
        <f t="shared" si="94"/>
        <v>0.63267821921668077</v>
      </c>
      <c r="AA427" s="224" t="str">
        <f t="shared" si="88"/>
        <v>WA-No</v>
      </c>
      <c r="AB427" s="225" t="str">
        <f t="shared" si="95"/>
        <v>WA-Rep</v>
      </c>
      <c r="AC427" s="422" t="str">
        <f>C427&amp;"-"&amp;IF(Y427&gt;Instructions!$H$14,Instructions!$I$14,IF(Y427&gt;Instructions!$H$15,Instructions!$I$15,IF(Y427&gt;Instructions!$H$16,Instructions!$I$16,IF(Y427&gt;Instructions!$H$17,Instructions!$I$17,Instructions!$I$18))))</f>
        <v>WA-Landslide</v>
      </c>
      <c r="AD427" s="226">
        <f t="shared" si="96"/>
        <v>73003</v>
      </c>
      <c r="AE427" s="226">
        <f t="shared" si="97"/>
        <v>0</v>
      </c>
      <c r="AF427" s="227">
        <f t="shared" si="101"/>
        <v>0</v>
      </c>
      <c r="AG427" s="341">
        <f t="shared" si="99"/>
        <v>73003</v>
      </c>
    </row>
    <row r="428" spans="1:34">
      <c r="A428" s="352" t="s">
        <v>110</v>
      </c>
      <c r="B428" s="427">
        <v>9</v>
      </c>
      <c r="C428" s="220" t="s">
        <v>46</v>
      </c>
      <c r="D428" s="379" t="s">
        <v>741</v>
      </c>
      <c r="E428"/>
      <c r="F428"/>
      <c r="G428"/>
      <c r="H428"/>
      <c r="I428"/>
      <c r="J428" t="str">
        <f t="shared" si="89"/>
        <v>WA-Yes</v>
      </c>
      <c r="K428" t="str">
        <f t="shared" si="90"/>
        <v>WA-Yes</v>
      </c>
      <c r="L428" s="417"/>
      <c r="M428" s="417"/>
      <c r="N428" s="255">
        <v>1996</v>
      </c>
      <c r="O428" s="416">
        <v>118132</v>
      </c>
      <c r="P428" s="416"/>
      <c r="Q428" s="416">
        <v>48662</v>
      </c>
      <c r="R428" s="416"/>
      <c r="S428" s="416">
        <v>0</v>
      </c>
      <c r="T428" s="353">
        <f t="shared" si="91"/>
        <v>166794</v>
      </c>
      <c r="U428" s="228"/>
      <c r="V428" s="221">
        <f t="shared" si="92"/>
        <v>118132</v>
      </c>
      <c r="W428" s="388">
        <f t="shared" si="102"/>
        <v>48662</v>
      </c>
      <c r="X428" s="222">
        <f t="shared" si="93"/>
        <v>0.41650179263043036</v>
      </c>
      <c r="Y428" s="421">
        <f t="shared" si="100"/>
        <v>0.41650179263043036</v>
      </c>
      <c r="Z428" s="223">
        <f t="shared" si="94"/>
        <v>0.70825089631521521</v>
      </c>
      <c r="AA428" s="224" t="str">
        <f t="shared" si="88"/>
        <v>WA-No</v>
      </c>
      <c r="AB428" s="225" t="str">
        <f t="shared" si="95"/>
        <v>WA-Dem</v>
      </c>
      <c r="AC428" s="422" t="str">
        <f>C428&amp;"-"&amp;IF(Y428&gt;Instructions!$H$14,Instructions!$I$14,IF(Y428&gt;Instructions!$H$15,Instructions!$I$15,IF(Y428&gt;Instructions!$H$16,Instructions!$I$16,IF(Y428&gt;Instructions!$H$17,Instructions!$I$17,Instructions!$I$18))))</f>
        <v>WA-No contest</v>
      </c>
      <c r="AD428" s="226">
        <f t="shared" si="96"/>
        <v>0</v>
      </c>
      <c r="AE428" s="226">
        <f t="shared" si="97"/>
        <v>48662</v>
      </c>
      <c r="AF428" s="227">
        <f t="shared" si="101"/>
        <v>0</v>
      </c>
      <c r="AG428" s="341">
        <f t="shared" si="99"/>
        <v>48662</v>
      </c>
    </row>
    <row r="429" spans="1:34">
      <c r="A429" s="352" t="s">
        <v>110</v>
      </c>
      <c r="B429" s="427">
        <v>10</v>
      </c>
      <c r="C429" s="220" t="s">
        <v>46</v>
      </c>
      <c r="D429" s="379" t="s">
        <v>742</v>
      </c>
      <c r="E429" s="379"/>
      <c r="F429"/>
      <c r="G429"/>
      <c r="H429"/>
      <c r="I429"/>
      <c r="J429" t="str">
        <f t="shared" si="89"/>
        <v>WA-Yes</v>
      </c>
      <c r="K429" t="str">
        <f t="shared" si="90"/>
        <v>WA-Yes</v>
      </c>
      <c r="L429" s="417"/>
      <c r="M429" s="417"/>
      <c r="N429" s="255">
        <v>2012</v>
      </c>
      <c r="O429" s="416">
        <v>99279</v>
      </c>
      <c r="P429" s="416"/>
      <c r="Q429" s="416">
        <v>82213</v>
      </c>
      <c r="R429" s="416"/>
      <c r="S429" s="416">
        <v>0</v>
      </c>
      <c r="T429" s="353">
        <f t="shared" si="91"/>
        <v>181492</v>
      </c>
      <c r="U429" s="228"/>
      <c r="V429" s="221">
        <f t="shared" si="92"/>
        <v>99279</v>
      </c>
      <c r="W429" s="388">
        <f t="shared" si="102"/>
        <v>82213</v>
      </c>
      <c r="X429" s="222">
        <f t="shared" si="93"/>
        <v>9.4031692856985427E-2</v>
      </c>
      <c r="Y429" s="421">
        <f t="shared" si="100"/>
        <v>9.4031692856985483E-2</v>
      </c>
      <c r="Z429" s="223">
        <f t="shared" si="94"/>
        <v>0.54701584642849277</v>
      </c>
      <c r="AA429" s="224" t="str">
        <f t="shared" si="88"/>
        <v>WA-No</v>
      </c>
      <c r="AB429" s="225" t="str">
        <f t="shared" si="95"/>
        <v>WA-Dem</v>
      </c>
      <c r="AC429" s="422" t="str">
        <f>C429&amp;"-"&amp;IF(Y429&gt;Instructions!$H$14,Instructions!$I$14,IF(Y429&gt;Instructions!$H$15,Instructions!$I$15,IF(Y429&gt;Instructions!$H$16,Instructions!$I$16,IF(Y429&gt;Instructions!$H$17,Instructions!$I$17,Instructions!$I$18))))</f>
        <v>WA-Competitive</v>
      </c>
      <c r="AD429" s="226">
        <f t="shared" si="96"/>
        <v>0</v>
      </c>
      <c r="AE429" s="226">
        <f t="shared" si="97"/>
        <v>82213</v>
      </c>
      <c r="AF429" s="227">
        <f t="shared" si="101"/>
        <v>0</v>
      </c>
      <c r="AG429" s="341">
        <f t="shared" si="99"/>
        <v>82213</v>
      </c>
      <c r="AH429" s="413">
        <f>SUM(AG421:AG429)</f>
        <v>580132</v>
      </c>
    </row>
    <row r="430" spans="1:34">
      <c r="A430" s="352" t="s">
        <v>111</v>
      </c>
      <c r="B430" s="427">
        <v>1</v>
      </c>
      <c r="C430" s="220" t="s">
        <v>47</v>
      </c>
      <c r="D430" s="379" t="s">
        <v>743</v>
      </c>
      <c r="E430"/>
      <c r="F430"/>
      <c r="G430"/>
      <c r="H430"/>
      <c r="I430"/>
      <c r="J430" t="str">
        <f t="shared" si="89"/>
        <v>WV-Yes</v>
      </c>
      <c r="K430" t="str">
        <f t="shared" si="90"/>
        <v>WV-Yes</v>
      </c>
      <c r="L430" s="415"/>
      <c r="M430" s="415"/>
      <c r="N430" s="255">
        <v>2010</v>
      </c>
      <c r="O430" s="416">
        <v>51842</v>
      </c>
      <c r="P430" s="416"/>
      <c r="Q430" s="416">
        <v>91843</v>
      </c>
      <c r="R430" s="416"/>
      <c r="S430" s="416">
        <v>0</v>
      </c>
      <c r="T430" s="353">
        <f t="shared" si="91"/>
        <v>143685</v>
      </c>
      <c r="U430" s="228"/>
      <c r="V430" s="221">
        <f t="shared" si="92"/>
        <v>91843</v>
      </c>
      <c r="W430" s="388">
        <f t="shared" si="102"/>
        <v>51842</v>
      </c>
      <c r="X430" s="222">
        <f t="shared" si="93"/>
        <v>0.27839370845947731</v>
      </c>
      <c r="Y430" s="421">
        <f t="shared" si="100"/>
        <v>0.27839370845947736</v>
      </c>
      <c r="Z430" s="223">
        <f t="shared" si="94"/>
        <v>0.63919685422973871</v>
      </c>
      <c r="AA430" s="224" t="str">
        <f t="shared" si="88"/>
        <v>WV-No</v>
      </c>
      <c r="AB430" s="225" t="str">
        <f t="shared" si="95"/>
        <v>WV-Rep</v>
      </c>
      <c r="AC430" s="422" t="str">
        <f>C430&amp;"-"&amp;IF(Y430&gt;Instructions!$H$14,Instructions!$I$14,IF(Y430&gt;Instructions!$H$15,Instructions!$I$15,IF(Y430&gt;Instructions!$H$16,Instructions!$I$16,IF(Y430&gt;Instructions!$H$17,Instructions!$I$17,Instructions!$I$18))))</f>
        <v>WV-Landslide</v>
      </c>
      <c r="AD430" s="226">
        <f t="shared" si="96"/>
        <v>51842</v>
      </c>
      <c r="AE430" s="226">
        <f t="shared" si="97"/>
        <v>0</v>
      </c>
      <c r="AF430" s="227">
        <f t="shared" si="101"/>
        <v>0</v>
      </c>
      <c r="AG430" s="341">
        <f t="shared" si="99"/>
        <v>51842</v>
      </c>
    </row>
    <row r="431" spans="1:34">
      <c r="A431" s="352" t="s">
        <v>111</v>
      </c>
      <c r="B431" s="427">
        <v>2</v>
      </c>
      <c r="C431" s="220" t="s">
        <v>47</v>
      </c>
      <c r="D431" s="379" t="s">
        <v>825</v>
      </c>
      <c r="E431" s="414"/>
      <c r="F431"/>
      <c r="G431" s="379" t="s">
        <v>376</v>
      </c>
      <c r="H431"/>
      <c r="I431"/>
      <c r="J431" t="str">
        <f t="shared" si="89"/>
        <v>WV-No</v>
      </c>
      <c r="K431" t="str">
        <f t="shared" si="90"/>
        <v>WV-No</v>
      </c>
      <c r="L431" s="415">
        <v>0</v>
      </c>
      <c r="M431" s="415"/>
      <c r="N431" s="255">
        <v>2014</v>
      </c>
      <c r="O431" s="416">
        <v>67210</v>
      </c>
      <c r="P431" s="416"/>
      <c r="Q431" s="416">
        <v>72042</v>
      </c>
      <c r="R431" s="416"/>
      <c r="S431" s="416">
        <v>13840</v>
      </c>
      <c r="T431" s="353">
        <f t="shared" si="91"/>
        <v>153092</v>
      </c>
      <c r="U431" s="228"/>
      <c r="V431" s="221">
        <f t="shared" si="92"/>
        <v>72042</v>
      </c>
      <c r="W431" s="388">
        <f t="shared" si="102"/>
        <v>67210</v>
      </c>
      <c r="X431" s="222">
        <f t="shared" si="93"/>
        <v>3.4699681153592052E-2</v>
      </c>
      <c r="Y431" s="421">
        <f t="shared" si="100"/>
        <v>3.156272045567371E-2</v>
      </c>
      <c r="Z431" s="223">
        <f t="shared" si="94"/>
        <v>0.47057978209181406</v>
      </c>
      <c r="AA431" s="224" t="str">
        <f t="shared" si="88"/>
        <v>WV-No</v>
      </c>
      <c r="AB431" s="225" t="str">
        <f t="shared" si="95"/>
        <v>WV-Rep</v>
      </c>
      <c r="AC431" s="422" t="str">
        <f>C431&amp;"-"&amp;IF(Y431&gt;Instructions!$H$14,Instructions!$I$14,IF(Y431&gt;Instructions!$H$15,Instructions!$I$15,IF(Y431&gt;Instructions!$H$16,Instructions!$I$16,IF(Y431&gt;Instructions!$H$17,Instructions!$I$17,Instructions!$I$18))))</f>
        <v>WV-Tight</v>
      </c>
      <c r="AD431" s="226">
        <f t="shared" si="96"/>
        <v>67210</v>
      </c>
      <c r="AE431" s="226">
        <f t="shared" si="97"/>
        <v>0</v>
      </c>
      <c r="AF431" s="227">
        <f t="shared" si="101"/>
        <v>13840</v>
      </c>
      <c r="AG431" s="341">
        <f t="shared" si="99"/>
        <v>81050</v>
      </c>
    </row>
    <row r="432" spans="1:34">
      <c r="A432" s="375" t="s">
        <v>111</v>
      </c>
      <c r="B432" s="426">
        <v>3</v>
      </c>
      <c r="C432" s="220" t="s">
        <v>47</v>
      </c>
      <c r="D432" s="411" t="s">
        <v>826</v>
      </c>
      <c r="E432" s="411"/>
      <c r="F432" s="411"/>
      <c r="G432" s="411"/>
      <c r="H432" s="411"/>
      <c r="I432" s="411"/>
      <c r="J432" s="411" t="str">
        <f t="shared" si="89"/>
        <v>WV-Yes</v>
      </c>
      <c r="K432" s="411" t="str">
        <f t="shared" si="90"/>
        <v>WV-No</v>
      </c>
      <c r="L432" s="417">
        <v>1</v>
      </c>
      <c r="M432" s="417">
        <v>1</v>
      </c>
      <c r="N432" s="255">
        <v>2014</v>
      </c>
      <c r="O432" s="416">
        <v>62418</v>
      </c>
      <c r="P432" s="416"/>
      <c r="Q432" s="416">
        <v>77263</v>
      </c>
      <c r="R432" s="416"/>
      <c r="S432" s="416">
        <v>0</v>
      </c>
      <c r="T432" s="353">
        <f t="shared" si="91"/>
        <v>139681</v>
      </c>
      <c r="U432" s="228"/>
      <c r="V432" s="221">
        <f t="shared" si="92"/>
        <v>77263</v>
      </c>
      <c r="W432" s="388">
        <f t="shared" si="102"/>
        <v>62418</v>
      </c>
      <c r="X432" s="222">
        <f t="shared" si="93"/>
        <v>0.10627787601749701</v>
      </c>
      <c r="Y432" s="421">
        <f t="shared" si="100"/>
        <v>0.106277876017497</v>
      </c>
      <c r="Z432" s="223">
        <f t="shared" si="94"/>
        <v>0.55313893800874847</v>
      </c>
      <c r="AA432" s="224" t="str">
        <f t="shared" si="88"/>
        <v>WV-No</v>
      </c>
      <c r="AB432" s="225" t="str">
        <f t="shared" si="95"/>
        <v>WV-Rep</v>
      </c>
      <c r="AC432" s="422" t="str">
        <f>C432&amp;"-"&amp;IF(Y432&gt;Instructions!$H$14,Instructions!$I$14,IF(Y432&gt;Instructions!$H$15,Instructions!$I$15,IF(Y432&gt;Instructions!$H$16,Instructions!$I$16,IF(Y432&gt;Instructions!$H$17,Instructions!$I$17,Instructions!$I$18))))</f>
        <v>WV-Opportunity</v>
      </c>
      <c r="AD432" s="226">
        <f t="shared" si="96"/>
        <v>62418</v>
      </c>
      <c r="AE432" s="226">
        <f t="shared" si="97"/>
        <v>0</v>
      </c>
      <c r="AF432" s="227">
        <f t="shared" si="101"/>
        <v>0</v>
      </c>
      <c r="AG432" s="376">
        <f t="shared" si="99"/>
        <v>62418</v>
      </c>
      <c r="AH432" s="413">
        <f>SUM(AG430:AG432)</f>
        <v>195310</v>
      </c>
    </row>
    <row r="433" spans="1:34">
      <c r="A433" s="352" t="s">
        <v>112</v>
      </c>
      <c r="B433" s="427">
        <v>1</v>
      </c>
      <c r="C433" s="220" t="s">
        <v>48</v>
      </c>
      <c r="D433" s="379" t="s">
        <v>744</v>
      </c>
      <c r="E433" s="379"/>
      <c r="F433"/>
      <c r="G433"/>
      <c r="H433"/>
      <c r="I433"/>
      <c r="J433" t="str">
        <f t="shared" si="89"/>
        <v>WI-Yes</v>
      </c>
      <c r="K433" t="str">
        <f t="shared" si="90"/>
        <v>WI-Yes</v>
      </c>
      <c r="L433" s="415"/>
      <c r="M433" s="415"/>
      <c r="N433" s="255">
        <v>1998</v>
      </c>
      <c r="O433" s="416">
        <v>105552</v>
      </c>
      <c r="P433" s="416"/>
      <c r="Q433" s="416">
        <v>182316</v>
      </c>
      <c r="R433" s="416"/>
      <c r="S433" s="416">
        <v>302</v>
      </c>
      <c r="T433" s="353">
        <f t="shared" si="91"/>
        <v>288170</v>
      </c>
      <c r="U433" s="228"/>
      <c r="V433" s="221">
        <f t="shared" si="92"/>
        <v>182316</v>
      </c>
      <c r="W433" s="388">
        <f t="shared" si="102"/>
        <v>105552</v>
      </c>
      <c r="X433" s="222">
        <f t="shared" si="93"/>
        <v>0.26666388761515697</v>
      </c>
      <c r="Y433" s="421">
        <f t="shared" si="100"/>
        <v>0.26638442585973565</v>
      </c>
      <c r="Z433" s="223">
        <f t="shared" si="94"/>
        <v>0.6326682166776556</v>
      </c>
      <c r="AA433" s="224" t="str">
        <f t="shared" si="88"/>
        <v>WI-No</v>
      </c>
      <c r="AB433" s="225" t="str">
        <f t="shared" si="95"/>
        <v>WI-Rep</v>
      </c>
      <c r="AC433" s="422" t="str">
        <f>C433&amp;"-"&amp;IF(Y433&gt;Instructions!$H$14,Instructions!$I$14,IF(Y433&gt;Instructions!$H$15,Instructions!$I$15,IF(Y433&gt;Instructions!$H$16,Instructions!$I$16,IF(Y433&gt;Instructions!$H$17,Instructions!$I$17,Instructions!$I$18))))</f>
        <v>WI-Landslide</v>
      </c>
      <c r="AD433" s="226">
        <f t="shared" si="96"/>
        <v>105552</v>
      </c>
      <c r="AE433" s="226">
        <f t="shared" si="97"/>
        <v>0</v>
      </c>
      <c r="AF433" s="227">
        <f t="shared" si="101"/>
        <v>302</v>
      </c>
      <c r="AG433" s="341">
        <f t="shared" si="99"/>
        <v>105854</v>
      </c>
    </row>
    <row r="434" spans="1:34">
      <c r="A434" s="352" t="s">
        <v>112</v>
      </c>
      <c r="B434" s="426">
        <v>2</v>
      </c>
      <c r="C434" s="220" t="s">
        <v>48</v>
      </c>
      <c r="D434" s="379" t="s">
        <v>745</v>
      </c>
      <c r="E434" s="414"/>
      <c r="F434"/>
      <c r="G434"/>
      <c r="H434"/>
      <c r="I434"/>
      <c r="J434" t="str">
        <f t="shared" si="89"/>
        <v>WI-Yes</v>
      </c>
      <c r="K434" t="str">
        <f t="shared" si="90"/>
        <v>WI-Yes</v>
      </c>
      <c r="L434" s="417"/>
      <c r="M434" s="417"/>
      <c r="N434" s="255">
        <v>2012</v>
      </c>
      <c r="O434" s="416">
        <v>224920</v>
      </c>
      <c r="P434" s="416"/>
      <c r="Q434" s="416">
        <v>103619</v>
      </c>
      <c r="R434" s="416"/>
      <c r="S434" s="416">
        <v>308</v>
      </c>
      <c r="T434" s="353">
        <f t="shared" si="91"/>
        <v>328847</v>
      </c>
      <c r="U434" s="228"/>
      <c r="V434" s="221">
        <f t="shared" si="92"/>
        <v>224920</v>
      </c>
      <c r="W434" s="388">
        <f t="shared" si="102"/>
        <v>103619</v>
      </c>
      <c r="X434" s="222">
        <f t="shared" si="93"/>
        <v>0.36921339627867622</v>
      </c>
      <c r="Y434" s="421">
        <f t="shared" si="100"/>
        <v>0.36886758887871873</v>
      </c>
      <c r="Z434" s="223">
        <f t="shared" si="94"/>
        <v>0.68396549155078201</v>
      </c>
      <c r="AA434" s="224" t="str">
        <f t="shared" si="88"/>
        <v>WI-No</v>
      </c>
      <c r="AB434" s="225" t="str">
        <f t="shared" si="95"/>
        <v>WI-Dem</v>
      </c>
      <c r="AC434" s="422" t="str">
        <f>C434&amp;"-"&amp;IF(Y434&gt;Instructions!$H$14,Instructions!$I$14,IF(Y434&gt;Instructions!$H$15,Instructions!$I$15,IF(Y434&gt;Instructions!$H$16,Instructions!$I$16,IF(Y434&gt;Instructions!$H$17,Instructions!$I$17,Instructions!$I$18))))</f>
        <v>WI-Landslide</v>
      </c>
      <c r="AD434" s="226">
        <f t="shared" si="96"/>
        <v>0</v>
      </c>
      <c r="AE434" s="226">
        <f t="shared" si="97"/>
        <v>103619</v>
      </c>
      <c r="AF434" s="227">
        <f t="shared" si="101"/>
        <v>308</v>
      </c>
      <c r="AG434" s="341">
        <f t="shared" si="99"/>
        <v>103927</v>
      </c>
      <c r="AH434" s="380"/>
    </row>
    <row r="435" spans="1:34">
      <c r="A435" s="352" t="s">
        <v>112</v>
      </c>
      <c r="B435" s="427">
        <v>3</v>
      </c>
      <c r="C435" s="220" t="s">
        <v>48</v>
      </c>
      <c r="D435" s="379" t="s">
        <v>746</v>
      </c>
      <c r="E435" s="379"/>
      <c r="F435"/>
      <c r="G435"/>
      <c r="H435"/>
      <c r="I435"/>
      <c r="J435" t="str">
        <f t="shared" si="89"/>
        <v>WI-Yes</v>
      </c>
      <c r="K435" t="str">
        <f t="shared" si="90"/>
        <v>WI-Yes</v>
      </c>
      <c r="L435" s="417"/>
      <c r="M435" s="417"/>
      <c r="N435" s="255">
        <v>1996</v>
      </c>
      <c r="O435" s="416">
        <v>155368</v>
      </c>
      <c r="P435" s="416"/>
      <c r="Q435" s="416">
        <v>119540</v>
      </c>
      <c r="R435" s="416"/>
      <c r="S435" s="416">
        <v>253</v>
      </c>
      <c r="T435" s="353">
        <f t="shared" si="91"/>
        <v>275161</v>
      </c>
      <c r="U435" s="228"/>
      <c r="V435" s="221">
        <f t="shared" si="92"/>
        <v>155368</v>
      </c>
      <c r="W435" s="388">
        <f t="shared" si="102"/>
        <v>119540</v>
      </c>
      <c r="X435" s="222">
        <f t="shared" si="93"/>
        <v>0.13032723674829397</v>
      </c>
      <c r="Y435" s="421">
        <f t="shared" si="100"/>
        <v>0.13020740584603191</v>
      </c>
      <c r="Z435" s="223">
        <f t="shared" si="94"/>
        <v>0.56464397207453088</v>
      </c>
      <c r="AA435" s="224" t="str">
        <f t="shared" si="88"/>
        <v>WI-No</v>
      </c>
      <c r="AB435" s="225" t="str">
        <f t="shared" si="95"/>
        <v>WI-Dem</v>
      </c>
      <c r="AC435" s="422" t="str">
        <f>C435&amp;"-"&amp;IF(Y435&gt;Instructions!$H$14,Instructions!$I$14,IF(Y435&gt;Instructions!$H$15,Instructions!$I$15,IF(Y435&gt;Instructions!$H$16,Instructions!$I$16,IF(Y435&gt;Instructions!$H$17,Instructions!$I$17,Instructions!$I$18))))</f>
        <v>WI-Opportunity</v>
      </c>
      <c r="AD435" s="226">
        <f t="shared" si="96"/>
        <v>0</v>
      </c>
      <c r="AE435" s="226">
        <f t="shared" si="97"/>
        <v>119540</v>
      </c>
      <c r="AF435" s="227">
        <f t="shared" si="101"/>
        <v>253</v>
      </c>
      <c r="AG435" s="341">
        <f t="shared" si="99"/>
        <v>119793</v>
      </c>
    </row>
    <row r="436" spans="1:34">
      <c r="A436" s="415" t="s">
        <v>112</v>
      </c>
      <c r="B436" s="427">
        <v>4</v>
      </c>
      <c r="C436" s="384" t="s">
        <v>48</v>
      </c>
      <c r="D436" s="379" t="s">
        <v>747</v>
      </c>
      <c r="E436" s="414" t="s">
        <v>377</v>
      </c>
      <c r="F436" s="414" t="s">
        <v>377</v>
      </c>
      <c r="G436" s="379"/>
      <c r="H436" s="379"/>
      <c r="I436" s="379"/>
      <c r="J436" s="379" t="str">
        <f t="shared" si="89"/>
        <v>WI-Yes</v>
      </c>
      <c r="K436" s="379" t="str">
        <f t="shared" si="90"/>
        <v>WI-Yes</v>
      </c>
      <c r="L436" s="417"/>
      <c r="M436" s="417"/>
      <c r="N436" s="412">
        <v>2004</v>
      </c>
      <c r="O436" s="416">
        <v>179045</v>
      </c>
      <c r="P436" s="416"/>
      <c r="Q436" s="416">
        <v>68490</v>
      </c>
      <c r="R436" s="416"/>
      <c r="S436" s="416">
        <v>7357</v>
      </c>
      <c r="T436" s="353">
        <f t="shared" si="91"/>
        <v>254892</v>
      </c>
      <c r="U436" s="396"/>
      <c r="V436" s="388">
        <f t="shared" si="92"/>
        <v>179045</v>
      </c>
      <c r="W436" s="388">
        <f t="shared" si="102"/>
        <v>68490</v>
      </c>
      <c r="X436" s="389">
        <f t="shared" si="93"/>
        <v>0.4466237097784152</v>
      </c>
      <c r="Y436" s="421">
        <f t="shared" si="100"/>
        <v>0.43373271817083314</v>
      </c>
      <c r="Z436" s="390">
        <f t="shared" si="94"/>
        <v>0.7024347566812611</v>
      </c>
      <c r="AA436" s="391" t="str">
        <f t="shared" si="88"/>
        <v>WI-No</v>
      </c>
      <c r="AB436" s="392" t="str">
        <f t="shared" si="95"/>
        <v>WI-Dem</v>
      </c>
      <c r="AC436" s="422" t="str">
        <f>C436&amp;"-"&amp;IF(Y436&gt;Instructions!$H$14,Instructions!$I$14,IF(Y436&gt;Instructions!$H$15,Instructions!$I$15,IF(Y436&gt;Instructions!$H$16,Instructions!$I$16,IF(Y436&gt;Instructions!$H$17,Instructions!$I$17,Instructions!$I$18))))</f>
        <v>WI-No contest</v>
      </c>
      <c r="AD436" s="394">
        <f t="shared" si="96"/>
        <v>0</v>
      </c>
      <c r="AE436" s="394">
        <f t="shared" si="97"/>
        <v>68490</v>
      </c>
      <c r="AF436" s="395">
        <f t="shared" si="101"/>
        <v>7357</v>
      </c>
      <c r="AG436" s="413">
        <f t="shared" si="99"/>
        <v>75847</v>
      </c>
      <c r="AH436" s="380"/>
    </row>
    <row r="437" spans="1:34">
      <c r="A437" s="352" t="s">
        <v>112</v>
      </c>
      <c r="B437" s="427">
        <v>5</v>
      </c>
      <c r="C437" s="384" t="s">
        <v>48</v>
      </c>
      <c r="D437" s="379" t="s">
        <v>748</v>
      </c>
      <c r="E437"/>
      <c r="F437"/>
      <c r="G437"/>
      <c r="H437"/>
      <c r="I437"/>
      <c r="J437" t="str">
        <f t="shared" si="89"/>
        <v>WI-Yes</v>
      </c>
      <c r="K437" t="str">
        <f t="shared" si="90"/>
        <v>WI-Yes</v>
      </c>
      <c r="L437" s="415"/>
      <c r="M437" s="415"/>
      <c r="N437" s="255">
        <v>1978</v>
      </c>
      <c r="O437" s="416">
        <v>101190</v>
      </c>
      <c r="P437" s="416"/>
      <c r="Q437" s="416">
        <v>231160</v>
      </c>
      <c r="R437" s="416"/>
      <c r="S437" s="416">
        <v>476</v>
      </c>
      <c r="T437" s="353">
        <f t="shared" si="91"/>
        <v>332826</v>
      </c>
      <c r="U437" s="396"/>
      <c r="V437" s="221">
        <f t="shared" si="92"/>
        <v>231160</v>
      </c>
      <c r="W437" s="388">
        <f t="shared" si="102"/>
        <v>101190</v>
      </c>
      <c r="X437" s="222">
        <f t="shared" si="93"/>
        <v>0.39106363773130737</v>
      </c>
      <c r="Y437" s="421">
        <f t="shared" si="100"/>
        <v>0.39050434761707314</v>
      </c>
      <c r="Z437" s="223">
        <f t="shared" si="94"/>
        <v>0.6945370854440458</v>
      </c>
      <c r="AA437" s="224" t="str">
        <f t="shared" si="88"/>
        <v>WI-No</v>
      </c>
      <c r="AB437" s="225" t="str">
        <f t="shared" si="95"/>
        <v>WI-Rep</v>
      </c>
      <c r="AC437" s="422" t="str">
        <f>C437&amp;"-"&amp;IF(Y437&gt;Instructions!$H$14,Instructions!$I$14,IF(Y437&gt;Instructions!$H$15,Instructions!$I$15,IF(Y437&gt;Instructions!$H$16,Instructions!$I$16,IF(Y437&gt;Instructions!$H$17,Instructions!$I$17,Instructions!$I$18))))</f>
        <v>WI-Landslide</v>
      </c>
      <c r="AD437" s="226">
        <f t="shared" si="96"/>
        <v>101190</v>
      </c>
      <c r="AE437" s="226">
        <f t="shared" si="97"/>
        <v>0</v>
      </c>
      <c r="AF437" s="227">
        <f t="shared" si="101"/>
        <v>476</v>
      </c>
      <c r="AG437" s="341">
        <f t="shared" si="99"/>
        <v>101666</v>
      </c>
      <c r="AH437" s="380"/>
    </row>
    <row r="438" spans="1:34">
      <c r="A438" s="352" t="s">
        <v>112</v>
      </c>
      <c r="B438" s="427">
        <v>6</v>
      </c>
      <c r="C438" s="220" t="s">
        <v>48</v>
      </c>
      <c r="D438" s="379" t="s">
        <v>827</v>
      </c>
      <c r="E438"/>
      <c r="F438"/>
      <c r="G438"/>
      <c r="H438"/>
      <c r="I438"/>
      <c r="J438" t="str">
        <f t="shared" si="89"/>
        <v>WI-No</v>
      </c>
      <c r="K438" t="str">
        <f t="shared" si="90"/>
        <v>WI-No</v>
      </c>
      <c r="L438" s="415">
        <v>0</v>
      </c>
      <c r="M438" s="415"/>
      <c r="N438" s="255">
        <v>2014</v>
      </c>
      <c r="O438" s="416">
        <v>122212</v>
      </c>
      <c r="P438" s="416"/>
      <c r="Q438" s="416">
        <v>169767</v>
      </c>
      <c r="R438" s="416"/>
      <c r="S438" s="416">
        <v>7054</v>
      </c>
      <c r="T438" s="353">
        <f t="shared" si="91"/>
        <v>299033</v>
      </c>
      <c r="U438" s="228"/>
      <c r="V438" s="221">
        <f t="shared" si="92"/>
        <v>169767</v>
      </c>
      <c r="W438" s="388">
        <f t="shared" si="102"/>
        <v>122212</v>
      </c>
      <c r="X438" s="222">
        <f t="shared" si="93"/>
        <v>0.16287130238818545</v>
      </c>
      <c r="Y438" s="421">
        <f t="shared" si="100"/>
        <v>0.15902927101691122</v>
      </c>
      <c r="Z438" s="223">
        <f t="shared" si="94"/>
        <v>0.5677199506408992</v>
      </c>
      <c r="AA438" s="224" t="str">
        <f t="shared" si="88"/>
        <v>WI-No</v>
      </c>
      <c r="AB438" s="225" t="str">
        <f t="shared" si="95"/>
        <v>WI-Rep</v>
      </c>
      <c r="AC438" s="422" t="str">
        <f>C438&amp;"-"&amp;IF(Y438&gt;Instructions!$H$14,Instructions!$I$14,IF(Y438&gt;Instructions!$H$15,Instructions!$I$15,IF(Y438&gt;Instructions!$H$16,Instructions!$I$16,IF(Y438&gt;Instructions!$H$17,Instructions!$I$17,Instructions!$I$18))))</f>
        <v>WI-Opportunity</v>
      </c>
      <c r="AD438" s="226">
        <f t="shared" si="96"/>
        <v>122212</v>
      </c>
      <c r="AE438" s="226">
        <f t="shared" si="97"/>
        <v>0</v>
      </c>
      <c r="AF438" s="227">
        <f t="shared" si="101"/>
        <v>7054</v>
      </c>
      <c r="AG438" s="341">
        <f t="shared" si="99"/>
        <v>129266</v>
      </c>
      <c r="AH438" s="380"/>
    </row>
    <row r="439" spans="1:34">
      <c r="A439" s="352" t="s">
        <v>112</v>
      </c>
      <c r="B439" s="427">
        <v>7</v>
      </c>
      <c r="C439" s="220" t="s">
        <v>48</v>
      </c>
      <c r="D439" s="379" t="s">
        <v>749</v>
      </c>
      <c r="E439"/>
      <c r="F439"/>
      <c r="G439"/>
      <c r="H439"/>
      <c r="I439"/>
      <c r="J439" t="str">
        <f t="shared" si="89"/>
        <v>WI-Yes</v>
      </c>
      <c r="K439" t="str">
        <f t="shared" si="90"/>
        <v>WI-Yes</v>
      </c>
      <c r="L439" s="415"/>
      <c r="M439" s="415"/>
      <c r="N439" s="255">
        <v>2010</v>
      </c>
      <c r="O439" s="416">
        <v>112949</v>
      </c>
      <c r="P439" s="416"/>
      <c r="Q439" s="416">
        <v>169891</v>
      </c>
      <c r="R439" s="416"/>
      <c r="S439" s="416">
        <v>3763</v>
      </c>
      <c r="T439" s="353">
        <f t="shared" si="91"/>
        <v>286603</v>
      </c>
      <c r="U439" s="228"/>
      <c r="V439" s="221">
        <f t="shared" si="92"/>
        <v>169891</v>
      </c>
      <c r="W439" s="388">
        <f t="shared" si="102"/>
        <v>112949</v>
      </c>
      <c r="X439" s="222">
        <f t="shared" si="93"/>
        <v>0.2013223023617593</v>
      </c>
      <c r="Y439" s="421">
        <f t="shared" si="100"/>
        <v>0.19867900894268381</v>
      </c>
      <c r="Z439" s="223">
        <f t="shared" si="94"/>
        <v>0.59277467437535547</v>
      </c>
      <c r="AA439" s="224" t="str">
        <f t="shared" si="88"/>
        <v>WI-No</v>
      </c>
      <c r="AB439" s="225" t="str">
        <f t="shared" si="95"/>
        <v>WI-Rep</v>
      </c>
      <c r="AC439" s="422" t="str">
        <f>C439&amp;"-"&amp;IF(Y439&gt;Instructions!$H$14,Instructions!$I$14,IF(Y439&gt;Instructions!$H$15,Instructions!$I$15,IF(Y439&gt;Instructions!$H$16,Instructions!$I$16,IF(Y439&gt;Instructions!$H$17,Instructions!$I$17,Instructions!$I$18))))</f>
        <v>WI-Opportunity</v>
      </c>
      <c r="AD439" s="226">
        <f t="shared" si="96"/>
        <v>112949</v>
      </c>
      <c r="AE439" s="226">
        <f t="shared" si="97"/>
        <v>0</v>
      </c>
      <c r="AF439" s="227">
        <f t="shared" si="101"/>
        <v>3763</v>
      </c>
      <c r="AG439" s="341">
        <f t="shared" si="99"/>
        <v>116712</v>
      </c>
    </row>
    <row r="440" spans="1:34" ht="16.5" thickBot="1">
      <c r="A440" s="352" t="s">
        <v>112</v>
      </c>
      <c r="B440" s="427">
        <v>8</v>
      </c>
      <c r="C440" s="220" t="s">
        <v>48</v>
      </c>
      <c r="D440" s="379" t="s">
        <v>750</v>
      </c>
      <c r="E440" s="379"/>
      <c r="F440" s="379"/>
      <c r="G440"/>
      <c r="H440"/>
      <c r="I440"/>
      <c r="J440" t="str">
        <f t="shared" si="89"/>
        <v>WI-Yes</v>
      </c>
      <c r="K440" t="str">
        <f t="shared" si="90"/>
        <v>WI-Yes</v>
      </c>
      <c r="L440" s="352"/>
      <c r="M440" s="352"/>
      <c r="N440" s="255">
        <v>2010</v>
      </c>
      <c r="O440" s="416">
        <v>101345</v>
      </c>
      <c r="P440" s="416"/>
      <c r="Q440" s="416">
        <v>188553</v>
      </c>
      <c r="R440" s="416"/>
      <c r="S440" s="416">
        <v>150</v>
      </c>
      <c r="T440" s="353">
        <f t="shared" si="91"/>
        <v>290048</v>
      </c>
      <c r="U440" s="228"/>
      <c r="V440" s="221">
        <f t="shared" si="92"/>
        <v>188553</v>
      </c>
      <c r="W440" s="388">
        <f t="shared" si="102"/>
        <v>101345</v>
      </c>
      <c r="X440" s="222">
        <f t="shared" si="93"/>
        <v>0.3008230481065754</v>
      </c>
      <c r="Y440" s="421">
        <f t="shared" si="100"/>
        <v>0.30066747572815533</v>
      </c>
      <c r="Z440" s="223">
        <f t="shared" si="94"/>
        <v>0.65007515997352161</v>
      </c>
      <c r="AA440" s="224" t="str">
        <f t="shared" si="88"/>
        <v>WI-No</v>
      </c>
      <c r="AB440" s="225" t="str">
        <f t="shared" si="95"/>
        <v>WI-Rep</v>
      </c>
      <c r="AC440" s="422" t="str">
        <f>C440&amp;"-"&amp;IF(Y440&gt;Instructions!$H$14,Instructions!$I$14,IF(Y440&gt;Instructions!$H$15,Instructions!$I$15,IF(Y440&gt;Instructions!$H$16,Instructions!$I$16,IF(Y440&gt;Instructions!$H$17,Instructions!$I$17,Instructions!$I$18))))</f>
        <v>WI-Landslide</v>
      </c>
      <c r="AD440" s="226">
        <f t="shared" si="96"/>
        <v>101345</v>
      </c>
      <c r="AE440" s="226">
        <f t="shared" si="97"/>
        <v>0</v>
      </c>
      <c r="AF440" s="227">
        <f t="shared" si="101"/>
        <v>150</v>
      </c>
      <c r="AG440" s="341">
        <f t="shared" si="99"/>
        <v>101495</v>
      </c>
      <c r="AH440" s="413">
        <f>SUM(AG433:AG440)</f>
        <v>854560</v>
      </c>
    </row>
    <row r="441" spans="1:34" ht="16.5" thickBot="1">
      <c r="A441" s="356" t="s">
        <v>113</v>
      </c>
      <c r="B441" s="428" t="s">
        <v>0</v>
      </c>
      <c r="C441" s="357" t="s">
        <v>49</v>
      </c>
      <c r="D441" s="359" t="s">
        <v>751</v>
      </c>
      <c r="E441" s="377" t="s">
        <v>378</v>
      </c>
      <c r="F441" s="359"/>
      <c r="G441" s="359"/>
      <c r="H441" s="359"/>
      <c r="I441" s="359"/>
      <c r="J441" s="359" t="str">
        <f t="shared" si="89"/>
        <v>WY-Yes</v>
      </c>
      <c r="K441" s="359" t="str">
        <f t="shared" si="90"/>
        <v>WY-Yes</v>
      </c>
      <c r="L441" s="378"/>
      <c r="M441" s="378"/>
      <c r="N441" s="361">
        <v>2008</v>
      </c>
      <c r="O441" s="416">
        <v>37803</v>
      </c>
      <c r="P441" s="416"/>
      <c r="Q441" s="416">
        <v>113038</v>
      </c>
      <c r="R441" s="416"/>
      <c r="S441" s="416">
        <v>14259</v>
      </c>
      <c r="T441" s="353">
        <f t="shared" si="91"/>
        <v>165100</v>
      </c>
      <c r="U441" s="363"/>
      <c r="V441" s="364">
        <f t="shared" si="92"/>
        <v>113038</v>
      </c>
      <c r="W441" s="388">
        <f t="shared" si="102"/>
        <v>37803</v>
      </c>
      <c r="X441" s="365">
        <f t="shared" si="93"/>
        <v>0.49877022825359152</v>
      </c>
      <c r="Y441" s="421">
        <f t="shared" si="100"/>
        <v>0.45569351907934585</v>
      </c>
      <c r="Z441" s="367">
        <f t="shared" si="94"/>
        <v>0.68466384009691095</v>
      </c>
      <c r="AA441" s="368" t="str">
        <f t="shared" si="88"/>
        <v>WY-No</v>
      </c>
      <c r="AB441" s="369" t="str">
        <f t="shared" si="95"/>
        <v>WY-Rep</v>
      </c>
      <c r="AC441" s="422" t="str">
        <f>C441&amp;"-"&amp;IF(Y441&gt;Instructions!$H$14,Instructions!$I$14,IF(Y441&gt;Instructions!$H$15,Instructions!$I$15,IF(Y441&gt;Instructions!$H$16,Instructions!$I$16,IF(Y441&gt;Instructions!$H$17,Instructions!$I$17,Instructions!$I$18))))</f>
        <v>WY-No contest</v>
      </c>
      <c r="AD441" s="371">
        <f t="shared" si="96"/>
        <v>37803</v>
      </c>
      <c r="AE441" s="372">
        <f t="shared" si="97"/>
        <v>0</v>
      </c>
      <c r="AF441" s="373">
        <f t="shared" si="101"/>
        <v>14259</v>
      </c>
      <c r="AG441" s="374">
        <f t="shared" si="99"/>
        <v>52062</v>
      </c>
      <c r="AH441" s="413">
        <f>SUM(AG441)</f>
        <v>52062</v>
      </c>
    </row>
    <row r="442" spans="1:34">
      <c r="A442" s="405" t="s">
        <v>50</v>
      </c>
      <c r="B442" s="405"/>
      <c r="C442" s="406"/>
      <c r="D442" s="358"/>
      <c r="E442" s="358"/>
      <c r="F442" s="358"/>
      <c r="G442" s="358"/>
      <c r="H442" s="358"/>
      <c r="I442" s="358"/>
      <c r="J442" s="358"/>
      <c r="K442" s="358"/>
      <c r="L442" s="358"/>
      <c r="M442" s="360"/>
      <c r="N442" s="360"/>
      <c r="O442" s="407">
        <f>SUM(O7:P441)</f>
        <v>35616073</v>
      </c>
      <c r="P442" s="423"/>
      <c r="Q442" s="435">
        <f>SUM(Q7:R441)</f>
        <v>40080865</v>
      </c>
      <c r="R442" s="423"/>
      <c r="S442" s="423">
        <f>SUM(S7:S441)</f>
        <v>2261876</v>
      </c>
      <c r="T442" s="353">
        <f t="shared" si="91"/>
        <v>77958814</v>
      </c>
      <c r="U442" s="362">
        <f>SUM(U398:U403)</f>
        <v>0</v>
      </c>
      <c r="V442" s="423">
        <f>SUM(V7:V441)</f>
        <v>51328281</v>
      </c>
      <c r="W442" s="423">
        <f>SUM(W7:W441)</f>
        <v>25194186</v>
      </c>
      <c r="X442" s="408">
        <f>AVERAGE(X7:X441)</f>
        <v>0.41790130934596259</v>
      </c>
      <c r="Y442" s="421">
        <f t="shared" si="100"/>
        <v>0.33522950977679067</v>
      </c>
      <c r="Z442" s="366">
        <f t="shared" si="94"/>
        <v>0.65840253803758486</v>
      </c>
      <c r="AA442" s="409"/>
      <c r="AB442" s="405"/>
      <c r="AC442" s="370"/>
      <c r="AD442" s="410">
        <f>SUM(AD7:AD441)</f>
        <v>14519770</v>
      </c>
      <c r="AE442" s="424">
        <f>SUM(AE7:AE441)</f>
        <v>9410546</v>
      </c>
      <c r="AF442" s="424">
        <f>SUM(AF7:AF441)</f>
        <v>2259454</v>
      </c>
      <c r="AG442" s="424">
        <f>SUM(AG7:AG441)</f>
        <v>26189770</v>
      </c>
      <c r="AH442" s="424">
        <f>SUM(AH7:AH441)</f>
        <v>25566144</v>
      </c>
    </row>
    <row r="443" spans="1:34">
      <c r="A443" s="229"/>
      <c r="B443" s="405"/>
      <c r="C443" s="230"/>
      <c r="D443" s="379"/>
      <c r="E443"/>
      <c r="F443"/>
      <c r="G443"/>
      <c r="H443"/>
      <c r="I443"/>
      <c r="J443"/>
      <c r="K443"/>
      <c r="L443"/>
      <c r="M443"/>
      <c r="N443" s="440"/>
      <c r="O443" s="231"/>
      <c r="P443" s="231"/>
      <c r="Q443" s="435"/>
      <c r="R443" s="231"/>
      <c r="S443" s="231"/>
      <c r="T443" s="231"/>
      <c r="U443" s="232"/>
      <c r="V443" s="231"/>
      <c r="W443" s="231"/>
      <c r="X443" s="233"/>
      <c r="Y443" s="233"/>
      <c r="Z443" s="234"/>
      <c r="AA443" s="235"/>
      <c r="AB443" s="229"/>
      <c r="AC443" s="229"/>
      <c r="AD443" s="236"/>
      <c r="AE443" s="236"/>
      <c r="AF443" s="236"/>
      <c r="AG443" s="6"/>
    </row>
    <row r="444" spans="1:34">
      <c r="A444" s="200"/>
      <c r="B444" s="200"/>
      <c r="C444" s="237"/>
      <c r="D444" s="379"/>
      <c r="E444"/>
      <c r="F444"/>
      <c r="G444"/>
      <c r="H444"/>
      <c r="I444"/>
      <c r="J444"/>
      <c r="K444"/>
      <c r="L444"/>
      <c r="M444"/>
      <c r="N444" s="440"/>
      <c r="O444" s="238"/>
      <c r="P444" s="238"/>
      <c r="Q444" s="436">
        <f>SUMIF(O7:O440,"&gt;E12:E446",Q7:Q440)</f>
        <v>0</v>
      </c>
      <c r="R444" s="238"/>
      <c r="S444" s="238"/>
      <c r="T444" s="238"/>
      <c r="U444" s="238"/>
      <c r="V444" s="198"/>
      <c r="W444" s="239"/>
      <c r="X444" s="198"/>
      <c r="Y444" s="198"/>
      <c r="Z444" s="199"/>
      <c r="AA444" s="273"/>
      <c r="AB444" s="241"/>
      <c r="AC444" s="200"/>
      <c r="AD444" s="200"/>
      <c r="AE444" s="200"/>
      <c r="AF444" s="200"/>
      <c r="AG444" s="6"/>
    </row>
    <row r="445" spans="1:34">
      <c r="A445" s="200"/>
      <c r="B445" s="200"/>
      <c r="C445" s="237"/>
      <c r="D445" s="379"/>
      <c r="E445"/>
      <c r="F445"/>
      <c r="G445"/>
      <c r="H445"/>
      <c r="I445"/>
      <c r="J445"/>
      <c r="K445"/>
      <c r="L445"/>
      <c r="M445"/>
      <c r="N445" s="440"/>
      <c r="O445" s="240" t="s">
        <v>831</v>
      </c>
      <c r="P445" s="238"/>
      <c r="Q445" s="436"/>
      <c r="R445" s="238"/>
      <c r="S445" s="238"/>
      <c r="T445" s="238"/>
      <c r="U445" s="238"/>
      <c r="V445" s="198"/>
      <c r="W445" s="198"/>
      <c r="X445" s="198"/>
      <c r="Y445" s="198"/>
      <c r="Z445" s="199"/>
      <c r="AA445" s="200"/>
      <c r="AB445" s="200"/>
      <c r="AC445" s="200"/>
      <c r="AD445" s="200"/>
      <c r="AE445" s="200"/>
      <c r="AF445" s="200"/>
      <c r="AG445" s="6"/>
    </row>
    <row r="446" spans="1:34">
      <c r="A446" s="200"/>
      <c r="B446" s="200"/>
      <c r="C446" s="237"/>
      <c r="D446" s="379"/>
      <c r="E446"/>
      <c r="F446"/>
      <c r="G446"/>
      <c r="H446"/>
      <c r="I446"/>
      <c r="J446"/>
      <c r="K446"/>
      <c r="L446"/>
      <c r="M446"/>
      <c r="N446" s="440"/>
      <c r="O446" s="240" t="s">
        <v>830</v>
      </c>
      <c r="P446" s="238"/>
      <c r="Q446" s="436"/>
      <c r="R446" s="238"/>
      <c r="S446" s="238"/>
      <c r="T446" s="238"/>
      <c r="U446" s="238"/>
      <c r="V446" s="198"/>
      <c r="W446" s="198"/>
      <c r="X446" s="198"/>
      <c r="Y446" s="198"/>
      <c r="Z446" s="199"/>
      <c r="AA446" s="200"/>
      <c r="AB446" s="200"/>
      <c r="AC446" s="200"/>
      <c r="AD446" s="200"/>
      <c r="AE446" s="200"/>
      <c r="AF446" s="200"/>
      <c r="AG446" s="6"/>
    </row>
    <row r="447" spans="1:34">
      <c r="A447" s="200"/>
      <c r="B447" s="200"/>
      <c r="C447" s="237"/>
      <c r="D447" s="379"/>
      <c r="E447"/>
      <c r="F447"/>
      <c r="G447"/>
      <c r="H447"/>
      <c r="I447"/>
      <c r="J447"/>
      <c r="K447"/>
      <c r="L447"/>
      <c r="M447"/>
      <c r="N447" s="440"/>
      <c r="O447" s="240" t="s">
        <v>330</v>
      </c>
      <c r="P447" s="238"/>
      <c r="Q447" s="436"/>
      <c r="R447" s="238"/>
      <c r="S447" s="238"/>
      <c r="T447" s="238"/>
      <c r="U447" s="238"/>
      <c r="V447" s="198"/>
      <c r="W447" s="198"/>
      <c r="X447" s="198"/>
      <c r="Y447" s="198"/>
      <c r="Z447" s="199"/>
      <c r="AA447" s="200"/>
      <c r="AB447" s="200"/>
      <c r="AC447" s="200"/>
      <c r="AD447" s="200"/>
      <c r="AE447" s="200"/>
      <c r="AF447" s="200"/>
      <c r="AG447" s="6"/>
    </row>
    <row r="448" spans="1:34">
      <c r="A448" s="200"/>
      <c r="B448" s="200"/>
      <c r="C448" s="237"/>
      <c r="D448" s="379"/>
      <c r="E448"/>
      <c r="F448"/>
      <c r="G448"/>
      <c r="H448"/>
      <c r="I448"/>
      <c r="J448"/>
      <c r="K448"/>
      <c r="L448"/>
      <c r="M448"/>
      <c r="N448" s="440"/>
      <c r="O448" s="240"/>
      <c r="P448" s="238"/>
      <c r="Q448" s="436"/>
      <c r="R448" s="238"/>
      <c r="S448" s="238"/>
      <c r="T448" s="238"/>
      <c r="U448" s="238"/>
      <c r="V448" s="198"/>
      <c r="W448" s="198"/>
      <c r="X448" s="198"/>
      <c r="Y448" s="198"/>
      <c r="Z448" s="199"/>
      <c r="AA448" s="200"/>
      <c r="AB448" s="200"/>
      <c r="AC448" s="200"/>
      <c r="AD448" s="200"/>
      <c r="AE448" s="200"/>
      <c r="AF448" s="200"/>
      <c r="AG448" s="6"/>
    </row>
  </sheetData>
  <autoFilter ref="A6:AH442"/>
  <phoneticPr fontId="0" type="noConversion"/>
  <pageMargins left="0.5" right="0.5" top="0.5" bottom="0.5" header="0.5" footer="0.5"/>
  <pageSetup scale="50" fitToWidth="3" fitToHeight="5" orientation="portrait" r:id="rId1"/>
  <headerFooter alignWithMargins="0">
    <oddHeader>&amp;L&amp;"Times New Roman,Regular"&amp;12&amp;D&amp;C&amp;"Times New Roman,Bold"&amp;12Dubious Democracy 2003 District Data&amp;R&amp;"Times New Roman,Regular"&amp;12&amp;P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72"/>
  <sheetViews>
    <sheetView zoomScaleNormal="100" workbookViewId="0">
      <pane xSplit="2" ySplit="6" topLeftCell="C7" activePane="bottomRight" state="frozen"/>
      <selection pane="topRight" activeCell="B1" sqref="B1"/>
      <selection pane="bottomLeft" activeCell="A2" sqref="A2"/>
      <selection pane="bottomRight" activeCell="AZ11" sqref="AZ11"/>
    </sheetView>
  </sheetViews>
  <sheetFormatPr defaultRowHeight="15.75"/>
  <cols>
    <col min="1" max="1" width="16.42578125" style="7" bestFit="1" customWidth="1"/>
    <col min="2" max="2" width="9.42578125" style="7" customWidth="1"/>
    <col min="3" max="3" width="14.5703125" style="7" bestFit="1" customWidth="1"/>
    <col min="4" max="4" width="16.85546875" style="7" customWidth="1"/>
    <col min="5" max="5" width="8.85546875" style="7" customWidth="1"/>
    <col min="6" max="6" width="12.28515625" style="7" customWidth="1"/>
    <col min="7" max="7" width="10.140625" style="7" customWidth="1"/>
    <col min="8" max="8" width="9.7109375" style="7" customWidth="1"/>
    <col min="9" max="9" width="8" style="7" bestFit="1" customWidth="1"/>
    <col min="10" max="10" width="9" style="7" customWidth="1"/>
    <col min="11" max="11" width="10.140625" style="7" customWidth="1"/>
    <col min="12" max="12" width="16.5703125" style="7" bestFit="1" customWidth="1"/>
    <col min="13" max="13" width="8.85546875" style="7" customWidth="1"/>
    <col min="14" max="14" width="9.28515625" style="7" customWidth="1"/>
    <col min="15" max="15" width="8.5703125" style="7" bestFit="1" customWidth="1"/>
    <col min="16" max="16" width="11.28515625" style="7" customWidth="1"/>
    <col min="17" max="17" width="9.5703125" style="7" bestFit="1" customWidth="1"/>
    <col min="18" max="18" width="8.5703125" style="7" bestFit="1" customWidth="1"/>
    <col min="19" max="19" width="7.5703125" style="7" bestFit="1" customWidth="1"/>
    <col min="20" max="20" width="6" style="5" customWidth="1"/>
    <col min="21" max="22" width="12.42578125" style="5" customWidth="1"/>
    <col min="23" max="23" width="10.28515625" style="5" customWidth="1"/>
    <col min="24" max="24" width="11.28515625" style="5" customWidth="1"/>
    <col min="25" max="25" width="12.28515625" style="5" customWidth="1"/>
    <col min="26" max="26" width="8.28515625" style="7" bestFit="1" customWidth="1"/>
    <col min="27" max="27" width="9.140625" style="7" customWidth="1"/>
    <col min="28" max="28" width="7.140625" style="7" customWidth="1"/>
    <col min="29" max="29" width="9.28515625" style="7" customWidth="1"/>
    <col min="30" max="31" width="16.85546875" style="7" customWidth="1"/>
    <col min="32" max="32" width="16.140625" style="7" customWidth="1"/>
    <col min="33" max="33" width="7.42578125" style="7" customWidth="1"/>
    <col min="34" max="34" width="7.5703125" style="7" customWidth="1"/>
    <col min="35" max="35" width="9.5703125" style="7" customWidth="1"/>
    <col min="36" max="36" width="9.85546875" style="7" customWidth="1"/>
    <col min="37" max="37" width="8.28515625" style="7" customWidth="1"/>
    <col min="38" max="38" width="7" style="7" customWidth="1"/>
    <col min="39" max="39" width="6.85546875" style="7" customWidth="1"/>
    <col min="40" max="40" width="6.42578125" style="7" customWidth="1"/>
    <col min="41" max="41" width="7.28515625" style="7" customWidth="1"/>
    <col min="42" max="42" width="8.85546875" style="7" bestFit="1" customWidth="1"/>
    <col min="43" max="43" width="20.5703125" style="7" customWidth="1"/>
    <col min="44" max="44" width="13.5703125" style="7" customWidth="1"/>
    <col min="45" max="45" width="11.28515625" style="7" bestFit="1" customWidth="1"/>
    <col min="46" max="46" width="12.140625" style="7" customWidth="1"/>
    <col min="47" max="47" width="10.140625" style="7" bestFit="1" customWidth="1"/>
    <col min="48" max="48" width="9.5703125" style="7" customWidth="1"/>
    <col min="49" max="49" width="9" style="7" customWidth="1"/>
    <col min="50" max="50" width="7.7109375" style="7" bestFit="1" customWidth="1"/>
    <col min="51" max="52" width="7.85546875" style="7" bestFit="1" customWidth="1"/>
    <col min="53" max="53" width="7.85546875" style="7" customWidth="1"/>
    <col min="54" max="55" width="8.140625" style="7" bestFit="1" customWidth="1"/>
    <col min="56" max="56" width="8.140625" style="7" customWidth="1"/>
    <col min="57" max="57" width="9.42578125" style="7" bestFit="1" customWidth="1"/>
    <col min="58" max="58" width="8.85546875" style="7" bestFit="1" customWidth="1"/>
    <col min="59" max="59" width="8.85546875" style="7" customWidth="1"/>
    <col min="60" max="63" width="11.28515625" style="7" bestFit="1" customWidth="1"/>
    <col min="64" max="64" width="10.140625" style="7" bestFit="1" customWidth="1"/>
    <col min="65" max="65" width="10.140625" style="7" customWidth="1"/>
    <col min="66" max="66" width="9" style="7" customWidth="1"/>
    <col min="67" max="67" width="8.5703125" style="7" customWidth="1"/>
    <col min="68" max="68" width="9" style="7" customWidth="1"/>
    <col min="71" max="16384" width="9.140625" style="7"/>
  </cols>
  <sheetData>
    <row r="1" spans="1:71">
      <c r="A1" s="8" t="s">
        <v>214</v>
      </c>
      <c r="E1" s="23" t="s">
        <v>202</v>
      </c>
      <c r="X1" s="191"/>
    </row>
    <row r="2" spans="1:71">
      <c r="B2" s="8"/>
      <c r="F2" s="7" t="s">
        <v>203</v>
      </c>
      <c r="AP2" s="7" t="s">
        <v>211</v>
      </c>
    </row>
    <row r="3" spans="1:71">
      <c r="B3" s="8"/>
      <c r="C3" s="8" t="s">
        <v>265</v>
      </c>
      <c r="G3" s="59"/>
      <c r="H3" s="59"/>
      <c r="I3" s="59"/>
      <c r="J3" s="59"/>
      <c r="K3" s="59"/>
      <c r="L3" s="59"/>
      <c r="M3" s="59"/>
      <c r="N3" s="23"/>
      <c r="O3" s="23"/>
      <c r="P3" s="7" t="s">
        <v>264</v>
      </c>
      <c r="Q3" s="23"/>
      <c r="R3" s="23"/>
      <c r="S3" s="23"/>
      <c r="U3" s="60"/>
      <c r="V3" s="60"/>
      <c r="W3" s="60"/>
      <c r="X3" s="60"/>
      <c r="Y3" s="60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</row>
    <row r="4" spans="1:71" ht="16.5" thickBot="1">
      <c r="B4" s="8"/>
      <c r="C4" s="8"/>
      <c r="AQ4"/>
    </row>
    <row r="5" spans="1:71" ht="16.5" thickBot="1">
      <c r="C5" s="167" t="s">
        <v>193</v>
      </c>
      <c r="E5" s="131" t="s">
        <v>200</v>
      </c>
      <c r="F5" s="132" t="s">
        <v>201</v>
      </c>
      <c r="G5" s="152"/>
      <c r="H5" s="153" t="s">
        <v>204</v>
      </c>
      <c r="I5" s="132"/>
      <c r="J5" s="132"/>
      <c r="K5" s="154"/>
      <c r="L5" s="152" t="s">
        <v>200</v>
      </c>
      <c r="M5" s="132" t="s">
        <v>201</v>
      </c>
      <c r="N5" s="132"/>
      <c r="O5" s="132" t="s">
        <v>127</v>
      </c>
      <c r="P5" s="155"/>
      <c r="Q5" s="132" t="s">
        <v>144</v>
      </c>
      <c r="R5" s="156" t="s">
        <v>139</v>
      </c>
      <c r="S5" s="157" t="s">
        <v>119</v>
      </c>
      <c r="T5" s="158"/>
      <c r="U5" s="159"/>
      <c r="V5" s="325" t="s">
        <v>147</v>
      </c>
      <c r="W5" s="326"/>
      <c r="X5" s="158"/>
      <c r="Y5" s="158"/>
      <c r="Z5" s="133"/>
      <c r="AA5" s="132" t="s">
        <v>386</v>
      </c>
      <c r="AB5" s="329" t="s">
        <v>317</v>
      </c>
      <c r="AC5" s="325" t="s">
        <v>319</v>
      </c>
      <c r="AD5" s="325" t="s">
        <v>320</v>
      </c>
      <c r="AE5" s="325" t="s">
        <v>320</v>
      </c>
      <c r="AF5" s="325" t="s">
        <v>320</v>
      </c>
      <c r="AG5" s="325" t="s">
        <v>381</v>
      </c>
      <c r="AH5" s="325" t="s">
        <v>381</v>
      </c>
      <c r="AI5" s="325" t="s">
        <v>384</v>
      </c>
      <c r="AJ5" s="325" t="s">
        <v>385</v>
      </c>
      <c r="AK5" s="329"/>
      <c r="AL5" s="325"/>
      <c r="AM5" s="325"/>
      <c r="AN5" s="325"/>
      <c r="AO5" s="325"/>
      <c r="AP5" s="167" t="s">
        <v>139</v>
      </c>
      <c r="AQ5" s="160" t="s">
        <v>136</v>
      </c>
      <c r="AR5" s="161"/>
      <c r="AS5" s="130" t="s">
        <v>115</v>
      </c>
      <c r="AT5" s="153"/>
      <c r="AU5" s="162"/>
      <c r="AV5" s="132"/>
      <c r="AW5" s="132" t="s">
        <v>130</v>
      </c>
      <c r="AX5" s="133"/>
      <c r="AY5" s="163"/>
      <c r="AZ5" s="153" t="s">
        <v>129</v>
      </c>
      <c r="BA5" s="164"/>
      <c r="BB5" s="132"/>
      <c r="BC5" s="153" t="s">
        <v>140</v>
      </c>
      <c r="BD5" s="133"/>
      <c r="BE5" s="132"/>
      <c r="BF5" s="153" t="s">
        <v>141</v>
      </c>
      <c r="BG5" s="133"/>
      <c r="BH5" s="165" t="s">
        <v>138</v>
      </c>
      <c r="BI5" s="132"/>
      <c r="BJ5" s="130" t="s">
        <v>145</v>
      </c>
      <c r="BK5" s="130"/>
      <c r="BL5" s="164"/>
      <c r="BM5" s="163"/>
      <c r="BN5" s="163"/>
      <c r="BO5" s="153" t="s">
        <v>146</v>
      </c>
      <c r="BP5" s="166"/>
    </row>
    <row r="6" spans="1:71" ht="17.25" customHeight="1" thickBot="1">
      <c r="A6" s="135" t="s">
        <v>51</v>
      </c>
      <c r="B6" s="136" t="s">
        <v>114</v>
      </c>
      <c r="C6" s="137" t="s">
        <v>192</v>
      </c>
      <c r="D6" s="138" t="s">
        <v>249</v>
      </c>
      <c r="E6" s="139" t="s">
        <v>198</v>
      </c>
      <c r="F6" s="140" t="s">
        <v>198</v>
      </c>
      <c r="G6" s="141" t="s">
        <v>126</v>
      </c>
      <c r="H6" s="140" t="s">
        <v>199</v>
      </c>
      <c r="I6" s="129" t="s">
        <v>142</v>
      </c>
      <c r="J6" s="129" t="s">
        <v>129</v>
      </c>
      <c r="K6" s="142" t="s">
        <v>192</v>
      </c>
      <c r="L6" s="141" t="s">
        <v>198</v>
      </c>
      <c r="M6" s="129" t="s">
        <v>198</v>
      </c>
      <c r="N6" s="129" t="s">
        <v>126</v>
      </c>
      <c r="O6" s="140" t="s">
        <v>205</v>
      </c>
      <c r="P6" s="129" t="s">
        <v>142</v>
      </c>
      <c r="Q6" s="129" t="s">
        <v>143</v>
      </c>
      <c r="R6" s="142" t="s">
        <v>192</v>
      </c>
      <c r="S6" s="143" t="s">
        <v>129</v>
      </c>
      <c r="T6" s="144" t="str">
        <f>Instructions!I18</f>
        <v>Tight</v>
      </c>
      <c r="U6" s="144" t="str">
        <f>Instructions!I17</f>
        <v>Competitive</v>
      </c>
      <c r="V6" s="144" t="str">
        <f>Instructions!I16</f>
        <v>Opportunity</v>
      </c>
      <c r="W6" s="144" t="str">
        <f>Instructions!I15</f>
        <v>Landslide</v>
      </c>
      <c r="X6" s="144" t="str">
        <f>Instructions!I14</f>
        <v>No contest</v>
      </c>
      <c r="Y6" s="144" t="s">
        <v>53</v>
      </c>
      <c r="Z6" s="346" t="s">
        <v>130</v>
      </c>
      <c r="AA6" s="327" t="s">
        <v>387</v>
      </c>
      <c r="AB6" s="330" t="s">
        <v>318</v>
      </c>
      <c r="AC6" s="334" t="s">
        <v>318</v>
      </c>
      <c r="AD6" s="334" t="s">
        <v>321</v>
      </c>
      <c r="AE6" s="334" t="s">
        <v>334</v>
      </c>
      <c r="AF6" s="334" t="s">
        <v>322</v>
      </c>
      <c r="AG6" s="334" t="s">
        <v>382</v>
      </c>
      <c r="AH6" s="334" t="s">
        <v>383</v>
      </c>
      <c r="AI6" s="334" t="s">
        <v>318</v>
      </c>
      <c r="AJ6" s="334" t="s">
        <v>318</v>
      </c>
      <c r="AK6" s="330" t="s">
        <v>341</v>
      </c>
      <c r="AL6" s="334" t="s">
        <v>229</v>
      </c>
      <c r="AM6" s="334" t="s">
        <v>340</v>
      </c>
      <c r="AN6" s="334" t="s">
        <v>339</v>
      </c>
      <c r="AO6" s="334" t="s">
        <v>337</v>
      </c>
      <c r="AP6" s="336" t="s">
        <v>55</v>
      </c>
      <c r="AQ6" s="145" t="s">
        <v>137</v>
      </c>
      <c r="AR6" s="146" t="s">
        <v>119</v>
      </c>
      <c r="AS6" s="129" t="s">
        <v>116</v>
      </c>
      <c r="AT6" s="129" t="s">
        <v>117</v>
      </c>
      <c r="AU6" s="147" t="s">
        <v>118</v>
      </c>
      <c r="AV6" s="129" t="s">
        <v>116</v>
      </c>
      <c r="AW6" s="129" t="s">
        <v>117</v>
      </c>
      <c r="AX6" s="148" t="s">
        <v>118</v>
      </c>
      <c r="AY6" s="139" t="s">
        <v>116</v>
      </c>
      <c r="AZ6" s="139" t="s">
        <v>117</v>
      </c>
      <c r="BA6" s="149" t="s">
        <v>118</v>
      </c>
      <c r="BB6" s="139" t="s">
        <v>116</v>
      </c>
      <c r="BC6" s="139" t="s">
        <v>117</v>
      </c>
      <c r="BD6" s="150" t="s">
        <v>118</v>
      </c>
      <c r="BE6" s="139" t="s">
        <v>116</v>
      </c>
      <c r="BF6" s="139" t="s">
        <v>117</v>
      </c>
      <c r="BG6" s="150" t="s">
        <v>118</v>
      </c>
      <c r="BH6" s="151" t="s">
        <v>137</v>
      </c>
      <c r="BI6" s="129" t="s">
        <v>119</v>
      </c>
      <c r="BJ6" s="129" t="s">
        <v>116</v>
      </c>
      <c r="BK6" s="129" t="s">
        <v>117</v>
      </c>
      <c r="BL6" s="147" t="s">
        <v>118</v>
      </c>
      <c r="BM6" s="129" t="s">
        <v>119</v>
      </c>
      <c r="BN6" s="129" t="s">
        <v>116</v>
      </c>
      <c r="BO6" s="129" t="s">
        <v>117</v>
      </c>
      <c r="BP6" s="148" t="s">
        <v>118</v>
      </c>
    </row>
    <row r="7" spans="1:71" ht="16.5" thickBot="1">
      <c r="A7" s="17" t="s">
        <v>64</v>
      </c>
      <c r="B7" s="26" t="s">
        <v>0</v>
      </c>
      <c r="C7" s="437">
        <v>1180413</v>
      </c>
      <c r="D7" s="437">
        <v>3586835</v>
      </c>
      <c r="E7" s="25">
        <f t="shared" ref="E7:E38" si="0">RANK(L7,L$7:L$56,1)</f>
        <v>46</v>
      </c>
      <c r="F7" s="25">
        <f t="shared" ref="F7:F38" si="1">RANK(M7,M$7:M$56)</f>
        <v>49</v>
      </c>
      <c r="G7" s="73">
        <f>RANK(N7,N$7:N$56,1)</f>
        <v>48</v>
      </c>
      <c r="H7" s="25">
        <f>RANK(O7,O$7:O$56,1)</f>
        <v>41</v>
      </c>
      <c r="I7" s="25">
        <f>RANK(P7,P$7:P$56)</f>
        <v>32</v>
      </c>
      <c r="J7" s="25">
        <f>RANK(Q7,Q$7:Q$56,1)</f>
        <v>28</v>
      </c>
      <c r="K7" s="68">
        <f>RANK(R7,R$7:R$56)</f>
        <v>40</v>
      </c>
      <c r="L7" s="67">
        <f t="shared" ref="L7:L38" si="2">AVERAGE(G7,H7,I7,I7,J7)</f>
        <v>36.200000000000003</v>
      </c>
      <c r="M7" s="64">
        <f>AVERAGE(1-N7,1-O7,P7,P7,1-Q7)</f>
        <v>0.34258084749531192</v>
      </c>
      <c r="N7" s="33">
        <f>AVERAGEIF('Data By District'!$C$7:$C$441,B7,'Data By District'!$Y$7:$Y$441)</f>
        <v>0.56977762731917247</v>
      </c>
      <c r="O7" s="29">
        <f t="shared" ref="O7:O38" si="3">(W7+X7+Y7)/S7</f>
        <v>1</v>
      </c>
      <c r="P7" s="29">
        <f>SUMIF('Data By District'!$C$7:$C$440,B7,'Data By District'!$V$7:$V$440)/D7</f>
        <v>0.23369349300985409</v>
      </c>
      <c r="Q7" s="29">
        <f t="shared" ref="Q7:Q38" si="4">(BF7+BE7)/2</f>
        <v>0.1847051212239762</v>
      </c>
      <c r="R7" s="70">
        <f t="shared" ref="R7:R38" si="5">AR7/D7</f>
        <v>0.30134645167675683</v>
      </c>
      <c r="S7" s="69">
        <f t="shared" ref="S7:S38" si="6">SUM(T7:Y7)</f>
        <v>7</v>
      </c>
      <c r="T7" s="25">
        <f>COUNTIF('Data By District'!$AC$7:$AC$440,$B7&amp;"-"&amp;T$6)</f>
        <v>0</v>
      </c>
      <c r="U7" s="25">
        <f>COUNTIF('Data By District'!$AC$7:$AC$440,$B7&amp;"-"&amp;U$6)</f>
        <v>0</v>
      </c>
      <c r="V7" s="25">
        <f>COUNTIF('Data By District'!$AC$7:$AC$440,$B7&amp;"-"&amp;V$6)</f>
        <v>0</v>
      </c>
      <c r="W7" s="25">
        <f>COUNTIF('Data By District'!$AC$7:$AC$440,$B7&amp;"-"&amp;W$6)</f>
        <v>3</v>
      </c>
      <c r="X7" s="25">
        <f>COUNTIF('Data By District'!$AC$7:$AC$440,$B7&amp;"-"&amp;X$6)-(Y7)</f>
        <v>1</v>
      </c>
      <c r="Y7" s="25">
        <f>COUNTIF('Data By District'!$AA$7:$AA$440,$B7&amp;"-"&amp;"Yes")</f>
        <v>3</v>
      </c>
      <c r="Z7" s="347">
        <f t="shared" ref="Z7:Z38" si="7">Y7/S7</f>
        <v>0.42857142857142855</v>
      </c>
      <c r="AA7" s="350">
        <f>COUNTIF('Data By District'!$M$7:$M$440, $B7&amp;"-"&amp;1)</f>
        <v>0</v>
      </c>
      <c r="AB7" s="331">
        <f>COUNTIFS('Data By District'!$K$7:$K$440,$B7&amp;"-"&amp;"Yes",'Data By District'!$AC$7:$AC$440,$B7&amp;"-"&amp;X$6)+COUNTIFS('Data By District'!$K$7:$K$440,$B7&amp;"-"&amp;"Yes",'Data By District'!$AC$7:$AC$440,$B7&amp;"-"&amp;W$6)</f>
        <v>6</v>
      </c>
      <c r="AC7" s="328">
        <f>AB7/AD7</f>
        <v>1</v>
      </c>
      <c r="AD7" s="332">
        <f>COUNTIF('Data By District'!$K$7:$K$440,$B7&amp;"-"&amp;"Yes")</f>
        <v>6</v>
      </c>
      <c r="AE7" s="332">
        <f>AF7-AD7</f>
        <v>0</v>
      </c>
      <c r="AF7" s="332">
        <f>COUNTIF('Data By District'!$J$7:$J$440,$B7&amp;"-"&amp;"Yes")</f>
        <v>6</v>
      </c>
      <c r="AG7" s="332">
        <f>COUNTIFS('Data By District'!$K$7:$K$440,$B7&amp;"-"&amp;"Yes",'Data By District'!$AB$7:$AB$440,$B7&amp;"-"&amp;"Dem")</f>
        <v>1</v>
      </c>
      <c r="AH7" s="332">
        <f>COUNTIFS('Data By District'!$K$7:$K$440,$B7&amp;"-"&amp;"Yes",'Data By District'!$AB$7:$AB$440,$B7&amp;"-"&amp;"Rep")</f>
        <v>5</v>
      </c>
      <c r="AI7" s="332">
        <f>COUNTIFS('Data By District'!$K$7:$K$440,$B7&amp;"-"&amp;"Yes",'Data By District'!$AB$7:$AB$440,$B7&amp;"-"&amp;"Dem",'Data By District'!$K$7:$K$440,$B7&amp;"-"&amp;"Yes",'Data By District'!$AC$7:$AC$440,$B7&amp;"-"&amp;W$6)+COUNTIFS('Data By District'!$K$7:$K$440,$B7&amp;"-"&amp;"Yes",'Data By District'!$AB$7:$AB$440,$B7&amp;"-"&amp;"Dem",'Data By District'!$K$7:$K$440,$B7&amp;"-"&amp;"Yes",'Data By District'!$AC$7:$AC$440,$B7&amp;"-"&amp;X$6)</f>
        <v>1</v>
      </c>
      <c r="AJ7" s="332">
        <f>COUNTIFS('Data By District'!$K$7:$K$440,$B7&amp;"-"&amp;"Yes",'Data By District'!$AB$7:$AB$440,$B7&amp;"-"&amp;"Rep",'Data By District'!$K$7:$K$440,$B7&amp;"-"&amp;"Yes",'Data By District'!$AC$7:$AC$440,$B7&amp;"-"&amp;W$6)+COUNTIFS('Data By District'!$K$7:$K$440,$B7&amp;"-"&amp;"Yes",'Data By District'!$AB$7:$AB$440,$B7&amp;"-"&amp;"Rep",'Data By District'!$K$7:$K$440,$B7&amp;"-"&amp;"Yes",'Data By District'!$AC$7:$AC$440,$B7&amp;"-"&amp;X$6)</f>
        <v>5</v>
      </c>
      <c r="AK7" s="331">
        <f>COUNTIF('Data By District'!$E$7:$E$440,$B7&amp;"-"&amp;"Yes")</f>
        <v>2</v>
      </c>
      <c r="AL7" s="332">
        <f>COUNTIF('Data By District'!$F$7:$F$440,$B7&amp;"-"&amp;"Yes")</f>
        <v>1</v>
      </c>
      <c r="AM7" s="332">
        <f>COUNTIF('Data By District'!$G$7:$G$440,$B7&amp;"-"&amp;"Yes")</f>
        <v>0</v>
      </c>
      <c r="AN7" s="332">
        <f>COUNTIF('Data By District'!$H$7:$H$440,$B7&amp;"-"&amp;"Yes")</f>
        <v>0</v>
      </c>
      <c r="AO7" s="332">
        <f>COUNTIF('Data By District'!$I$7:$I$440,$B7&amp;"-"&amp;"Yes")</f>
        <v>0</v>
      </c>
      <c r="AP7" s="70">
        <f t="shared" ref="AP7:AP38" si="8">(C7-AR7)/C7</f>
        <v>8.4320487829259758E-2</v>
      </c>
      <c r="AQ7" s="55">
        <f>BH7/AR7</f>
        <v>0.77549774258011994</v>
      </c>
      <c r="AR7" s="50">
        <f>SUM(AS7:AU7)</f>
        <v>1080880</v>
      </c>
      <c r="AS7" s="41">
        <f>SUMIF('Data By District'!$C$7:$C$440,$B7,'Data By District'!$O$7:$O$440)+SUMIF('Data By District'!$C$7:$C$440,$B7,'Data By District'!$P$7:$P$440)</f>
        <v>331764</v>
      </c>
      <c r="AT7" s="41">
        <f>SUMIF('Data By District'!$C$7:$C$440,$B7,'Data By District'!$Q$7:$Q$440)</f>
        <v>704533</v>
      </c>
      <c r="AU7" s="41">
        <f>SUMIF('Data By District'!$C$7:$C$440,$B7,'Data By District'!$S$7:$S$440)</f>
        <v>44583</v>
      </c>
      <c r="AV7" s="262">
        <f t="shared" ref="AV7:AV38" si="9">AS7/AR7</f>
        <v>0.30693879061505441</v>
      </c>
      <c r="AW7" s="258">
        <f t="shared" ref="AW7:AW38" si="10">AT7/AR7</f>
        <v>0.65181426245281626</v>
      </c>
      <c r="AX7" s="55">
        <f t="shared" ref="AX7:AX38" si="11">AU7/AR7</f>
        <v>4.1246946932129373E-2</v>
      </c>
      <c r="AY7" s="25">
        <f>COUNTIF('Data By District'!$AB$7:$AB$440,$B7&amp;"-"&amp;AY$6)</f>
        <v>1</v>
      </c>
      <c r="AZ7" s="25">
        <f>COUNTIF('Data By District'!$AB$7:$AB$440,$B7&amp;"-"&amp;AZ$6)</f>
        <v>6</v>
      </c>
      <c r="BA7" s="264">
        <f>COUNTIF('Data By District'!$AB$7:$AB$440,$B7&amp;"-"&amp;BA$6)</f>
        <v>0</v>
      </c>
      <c r="BB7" s="257">
        <f>AY7/$S7</f>
        <v>0.14285714285714285</v>
      </c>
      <c r="BC7" s="258">
        <f>AZ7/$S7</f>
        <v>0.8571428571428571</v>
      </c>
      <c r="BD7" s="55">
        <f>BA7/$S7</f>
        <v>0</v>
      </c>
      <c r="BE7" s="257">
        <f t="shared" ref="BE7:BE38" si="12">ABS((AS7/$AR7)-(AY7/$S7))</f>
        <v>0.16408164775791156</v>
      </c>
      <c r="BF7" s="258">
        <f t="shared" ref="BF7:BF38" si="13">ABS((AT7/$AR7)-(AZ7/$S7))</f>
        <v>0.20532859469004083</v>
      </c>
      <c r="BG7" s="55">
        <f t="shared" ref="BG7:BG38" si="14">ABS((AU7/$AR7)-(BA7/$S7))</f>
        <v>4.1246946932129373E-2</v>
      </c>
      <c r="BH7" s="50">
        <f>AR7-BI7</f>
        <v>838220</v>
      </c>
      <c r="BI7" s="41">
        <f>'Data By District'!AH13</f>
        <v>242660</v>
      </c>
      <c r="BJ7" s="41">
        <f>SUMIF('Data By District'!$C$7:$C$440,'Data By State'!$B7,'Data By District'!$AD$7:$AD$440)</f>
        <v>198077</v>
      </c>
      <c r="BK7" s="41">
        <f>SUMIF('Data By District'!$C$7:$C$440,'Data By State'!$B7,'Data By District'!$AE$7:$AE$440)</f>
        <v>0</v>
      </c>
      <c r="BL7" s="50">
        <f>SUMIF('Data By District'!$C$7:$C$440,'Data By State'!$B7,'Data By District'!$AF$7:$AF$440)</f>
        <v>44583</v>
      </c>
      <c r="BM7" s="64">
        <f>BI7/AR7</f>
        <v>0.22450225741988009</v>
      </c>
      <c r="BN7" s="24">
        <f t="shared" ref="BN7:BN15" si="15">BJ7/AS7</f>
        <v>0.59704187313873713</v>
      </c>
      <c r="BO7" s="24">
        <f t="shared" ref="BO7:BO15" si="16">BK7/AT7</f>
        <v>0</v>
      </c>
      <c r="BP7" s="56">
        <f t="shared" ref="BP7:BP15" si="17">BL7/AU7</f>
        <v>1</v>
      </c>
      <c r="BS7" s="9"/>
    </row>
    <row r="8" spans="1:71" ht="16.5" thickBot="1">
      <c r="A8" s="17" t="s">
        <v>65</v>
      </c>
      <c r="B8" s="26" t="s">
        <v>1</v>
      </c>
      <c r="C8" s="437">
        <v>282382</v>
      </c>
      <c r="D8" s="437">
        <v>524865</v>
      </c>
      <c r="E8" s="25">
        <f t="shared" si="0"/>
        <v>7</v>
      </c>
      <c r="F8" s="25">
        <f t="shared" si="1"/>
        <v>2</v>
      </c>
      <c r="G8" s="73">
        <f t="shared" ref="G8:G56" si="18">RANK(N8,N$7:N$56,1)</f>
        <v>2</v>
      </c>
      <c r="H8" s="25">
        <f t="shared" ref="H8:H56" si="19">RANK(O8,O$7:O$56,1)</f>
        <v>1</v>
      </c>
      <c r="I8" s="25">
        <f t="shared" ref="I8:I56" si="20">RANK(P8,P$7:P$56)</f>
        <v>11</v>
      </c>
      <c r="J8" s="25">
        <f t="shared" ref="J8:J56" si="21">RANK(Q8,Q$7:Q$56,1)</f>
        <v>50</v>
      </c>
      <c r="K8" s="68">
        <f t="shared" ref="K8:K56" si="22">RANK(R8,R$7:R$56)</f>
        <v>3</v>
      </c>
      <c r="L8" s="67">
        <f t="shared" si="2"/>
        <v>15</v>
      </c>
      <c r="M8" s="64">
        <f t="shared" ref="M8:M56" si="23">AVERAGE(1-N8,1-O8,P8,P8,1-Q8)</f>
        <v>0.59865054650277283</v>
      </c>
      <c r="N8" s="419">
        <f>AVERAGEIF('Data By District'!$C$7:$C$441,B8,'Data By District'!$Y$7:$Y$441)</f>
        <v>9.9991062650817752E-2</v>
      </c>
      <c r="O8" s="29">
        <f t="shared" si="3"/>
        <v>0</v>
      </c>
      <c r="P8" s="29">
        <f>SUMIF('Data By District'!$C$7:$C$440,B8,'Data By District'!$V$7:$V$440)/D8</f>
        <v>0.27162413191963647</v>
      </c>
      <c r="Q8" s="29">
        <f t="shared" si="4"/>
        <v>0.4500044686745911</v>
      </c>
      <c r="R8" s="70">
        <f t="shared" si="5"/>
        <v>0.53294656721252132</v>
      </c>
      <c r="S8" s="69">
        <f t="shared" si="6"/>
        <v>1</v>
      </c>
      <c r="T8" s="25">
        <f>COUNTIF('Data By District'!$AC$7:$AC$440,$B8&amp;"-"&amp;T$6)</f>
        <v>0</v>
      </c>
      <c r="U8" s="25">
        <f>COUNTIF('Data By District'!$AC$7:$AC$440,$B8&amp;"-"&amp;U$6)</f>
        <v>1</v>
      </c>
      <c r="V8" s="25">
        <f>COUNTIF('Data By District'!$AC$7:$AC$440,$B8&amp;"-"&amp;V$6)</f>
        <v>0</v>
      </c>
      <c r="W8" s="25">
        <f>COUNTIF('Data By District'!$AC$7:$AC$440,$B8&amp;"-"&amp;W$6)</f>
        <v>0</v>
      </c>
      <c r="X8" s="25">
        <f>COUNTIF('Data By District'!$AC$7:$AC$440,$B8&amp;"-"&amp;X$6)-(Y8)</f>
        <v>0</v>
      </c>
      <c r="Y8" s="25">
        <f>COUNTIF('Data By District'!$AA$7:$AA$440,$B8&amp;"-"&amp;"Yes")</f>
        <v>0</v>
      </c>
      <c r="Z8" s="348">
        <f t="shared" si="7"/>
        <v>0</v>
      </c>
      <c r="AA8" s="350">
        <f>COUNTIF('Data By District'!$M$7:$M$440, $B8&amp;"-"&amp;1)</f>
        <v>0</v>
      </c>
      <c r="AB8" s="331">
        <f>COUNTIFS('Data By District'!$K$7:$K$440,$B8&amp;"-"&amp;"Yes",'Data By District'!$AC$7:$AC$440,$B8&amp;"-"&amp;X$6)+COUNTIFS('Data By District'!$K$7:$K$440,$B8&amp;"-"&amp;"Yes",'Data By District'!$AC$7:$AC$440,$B8&amp;"-"&amp;W$6)</f>
        <v>0</v>
      </c>
      <c r="AC8" s="328">
        <f>AB8/AD8</f>
        <v>0</v>
      </c>
      <c r="AD8" s="332">
        <f>COUNTIF('Data By District'!$K$7:$K$440,$B8&amp;"-"&amp;"Yes")</f>
        <v>1</v>
      </c>
      <c r="AE8" s="332">
        <f t="shared" ref="AE8:AE56" si="24">AF8-AD8</f>
        <v>0</v>
      </c>
      <c r="AF8" s="332">
        <f>COUNTIF('Data By District'!$J$7:$J$440,$B8&amp;"-"&amp;"Yes")</f>
        <v>1</v>
      </c>
      <c r="AG8" s="332">
        <f>COUNTIFS('Data By District'!$K$7:$K$440,$B8&amp;"-"&amp;"Yes",'Data By District'!$AB$7:$AB$440,$B8&amp;"-"&amp;"Dem")</f>
        <v>0</v>
      </c>
      <c r="AH8" s="332">
        <f>COUNTIFS('Data By District'!$K$7:$K$440,$B8&amp;"-"&amp;"Yes",'Data By District'!$AB$7:$AB$440,$B8&amp;"-"&amp;"Rep")</f>
        <v>1</v>
      </c>
      <c r="AI8" s="332">
        <f>COUNTIFS('Data By District'!$K$7:$K$440,$B8&amp;"-"&amp;"Yes",'Data By District'!$AB$7:$AB$440,$B8&amp;"-"&amp;"Dem",'Data By District'!$K$7:$K$440,$B8&amp;"-"&amp;"Yes",'Data By District'!$AC$7:$AC$440,$B8&amp;"-"&amp;W$6)+COUNTIFS('Data By District'!$K$7:$K$440,$B8&amp;"-"&amp;"Yes",'Data By District'!$AB$7:$AB$440,$B8&amp;"-"&amp;"Dem",'Data By District'!$K$7:$K$440,$B8&amp;"-"&amp;"Yes",'Data By District'!$AC$7:$AC$440,$B8&amp;"-"&amp;X$6)</f>
        <v>0</v>
      </c>
      <c r="AJ8" s="332">
        <f>COUNTIFS('Data By District'!$K$7:$K$440,$B8&amp;"-"&amp;"Yes",'Data By District'!$AB$7:$AB$440,$B8&amp;"-"&amp;"Rep",'Data By District'!$K$7:$K$440,$B8&amp;"-"&amp;"Yes",'Data By District'!$AC$7:$AC$440,$B8&amp;"-"&amp;W$6)+COUNTIFS('Data By District'!$K$7:$K$440,$B8&amp;"-"&amp;"Yes",'Data By District'!$AB$7:$AB$440,$B8&amp;"-"&amp;"Rep",'Data By District'!$K$7:$K$440,$B8&amp;"-"&amp;"Yes",'Data By District'!$AC$7:$AC$440,$B8&amp;"-"&amp;X$6)</f>
        <v>0</v>
      </c>
      <c r="AK8" s="331">
        <f>COUNTIF('Data By District'!$E$7:$E$440,$B8&amp;"-"&amp;"Yes")</f>
        <v>0</v>
      </c>
      <c r="AL8" s="332">
        <f>COUNTIF('Data By District'!$F$7:$F$440,$B8&amp;"-"&amp;"Yes")</f>
        <v>0</v>
      </c>
      <c r="AM8" s="332">
        <f>COUNTIF('Data By District'!$G$7:$G$440,$B8&amp;"-"&amp;"Yes")</f>
        <v>0</v>
      </c>
      <c r="AN8" s="332">
        <f>COUNTIF('Data By District'!$H$7:$H$440,$B8&amp;"-"&amp;"Yes")</f>
        <v>0</v>
      </c>
      <c r="AO8" s="332">
        <f>COUNTIF('Data By District'!$I$7:$I$440,$B8&amp;"-"&amp;"Yes")</f>
        <v>0</v>
      </c>
      <c r="AP8" s="70">
        <f t="shared" si="8"/>
        <v>9.4092399657201946E-3</v>
      </c>
      <c r="AQ8" s="55">
        <f t="shared" ref="AQ8:AQ56" si="25">BH8/AR8</f>
        <v>0.50966484940566625</v>
      </c>
      <c r="AR8" s="50">
        <f t="shared" ref="AR8:AR56" si="26">SUM(AS8:AU8)</f>
        <v>279725</v>
      </c>
      <c r="AS8" s="41">
        <f>SUMIF('Data By District'!$C$7:$C$440,$B8,'Data By District'!$O$7:$O$440)</f>
        <v>114596</v>
      </c>
      <c r="AT8" s="41">
        <f>SUMIF('Data By District'!$C$7:$C$440,$B8,'Data By District'!$Q$7:$Q$440)</f>
        <v>142566</v>
      </c>
      <c r="AU8" s="41">
        <f>SUMIF('Data By District'!$C$7:$C$440,$B8,'Data By District'!$S$7:$S$440)</f>
        <v>22563</v>
      </c>
      <c r="AV8" s="263">
        <f t="shared" si="9"/>
        <v>0.4096737867548485</v>
      </c>
      <c r="AW8" s="24">
        <f t="shared" si="10"/>
        <v>0.50966484940566625</v>
      </c>
      <c r="AX8" s="56">
        <f t="shared" si="11"/>
        <v>8.0661363839485203E-2</v>
      </c>
      <c r="AY8" s="25">
        <f>COUNTIF('Data By District'!$AB$7:$AB$440,$B8&amp;"-"&amp;AY$6)</f>
        <v>0</v>
      </c>
      <c r="AZ8" s="25">
        <f>COUNTIF('Data By District'!$AB$7:$AB$440,$B8&amp;"-"&amp;AZ$6)</f>
        <v>1</v>
      </c>
      <c r="BA8" s="25">
        <f>COUNTIF('Data By District'!$AB$7:$AB$440,$B8&amp;"-"&amp;BA$6)</f>
        <v>0</v>
      </c>
      <c r="BB8" s="259">
        <f t="shared" ref="BB8:BB56" si="27">AY8/$S8</f>
        <v>0</v>
      </c>
      <c r="BC8" s="24">
        <f t="shared" ref="BC8:BC57" si="28">AZ8/$S8</f>
        <v>1</v>
      </c>
      <c r="BD8" s="56">
        <f t="shared" ref="BD8:BD57" si="29">BA8/$S8</f>
        <v>0</v>
      </c>
      <c r="BE8" s="259">
        <f t="shared" si="12"/>
        <v>0.4096737867548485</v>
      </c>
      <c r="BF8" s="24">
        <f t="shared" si="13"/>
        <v>0.49033515059433375</v>
      </c>
      <c r="BG8" s="56">
        <f t="shared" si="14"/>
        <v>8.0661363839485203E-2</v>
      </c>
      <c r="BH8" s="50">
        <f t="shared" ref="BH8:BH56" si="30">AR8-BI8</f>
        <v>142566</v>
      </c>
      <c r="BI8" s="41">
        <f>'Data By District'!AH14</f>
        <v>137159</v>
      </c>
      <c r="BJ8" s="41">
        <f>SUMIF('Data By District'!$C$7:$C$440,'Data By State'!$B8,'Data By District'!$AD$7:$AD$440)</f>
        <v>114596</v>
      </c>
      <c r="BK8" s="41">
        <f>SUMIF('Data By District'!$C$7:$C$440,'Data By State'!$B8,'Data By District'!$AE$7:$AE$440)</f>
        <v>0</v>
      </c>
      <c r="BL8" s="50">
        <f>SUMIF('Data By District'!$C$7:$C$440,'Data By State'!$B8,'Data By District'!$AF$7:$AF$440)</f>
        <v>22563</v>
      </c>
      <c r="BM8" s="64">
        <f t="shared" ref="BM8:BM57" si="31">BI8/AR8</f>
        <v>0.49033515059433375</v>
      </c>
      <c r="BN8" s="24">
        <f t="shared" si="15"/>
        <v>1</v>
      </c>
      <c r="BO8" s="24">
        <f t="shared" si="16"/>
        <v>0</v>
      </c>
      <c r="BP8" s="56">
        <f t="shared" si="17"/>
        <v>1</v>
      </c>
    </row>
    <row r="9" spans="1:71" ht="16.5" thickBot="1">
      <c r="A9" s="17" t="s">
        <v>66</v>
      </c>
      <c r="B9" s="26" t="s">
        <v>2</v>
      </c>
      <c r="C9" s="437">
        <v>1506416</v>
      </c>
      <c r="D9" s="437">
        <v>4507185</v>
      </c>
      <c r="E9" s="25">
        <f t="shared" si="0"/>
        <v>18</v>
      </c>
      <c r="F9" s="25">
        <f t="shared" si="1"/>
        <v>11</v>
      </c>
      <c r="G9" s="73">
        <f t="shared" si="18"/>
        <v>22</v>
      </c>
      <c r="H9" s="25">
        <f t="shared" si="19"/>
        <v>15</v>
      </c>
      <c r="I9" s="25">
        <f t="shared" si="20"/>
        <v>38</v>
      </c>
      <c r="J9" s="25">
        <f>RANK(Q9,Q$7:Q$56,1)</f>
        <v>4</v>
      </c>
      <c r="K9" s="68">
        <f t="shared" si="22"/>
        <v>36</v>
      </c>
      <c r="L9" s="67">
        <f t="shared" si="2"/>
        <v>23.4</v>
      </c>
      <c r="M9" s="64">
        <f t="shared" si="23"/>
        <v>0.50827866499580365</v>
      </c>
      <c r="N9" s="419">
        <f>AVERAGEIF('Data By District'!$C$7:$C$441,B9,'Data By District'!$Y$7:$Y$441)</f>
        <v>0.28261104868585185</v>
      </c>
      <c r="O9" s="29">
        <f t="shared" si="3"/>
        <v>0.55555555555555558</v>
      </c>
      <c r="P9" s="29">
        <f>SUMIF('Data By District'!$C$7:$C$440,B9,'Data By District'!$V$7:$V$440)/D9</f>
        <v>0.20275315967727084</v>
      </c>
      <c r="Q9" s="29">
        <f t="shared" si="4"/>
        <v>2.5946390134116593E-2</v>
      </c>
      <c r="R9" s="70">
        <f t="shared" si="5"/>
        <v>0.32561410281583736</v>
      </c>
      <c r="S9" s="69">
        <f t="shared" si="6"/>
        <v>9</v>
      </c>
      <c r="T9" s="25">
        <f>COUNTIF('Data By District'!$AC$7:$AC$440,$B9&amp;"-"&amp;T$6)</f>
        <v>1</v>
      </c>
      <c r="U9" s="25">
        <f>COUNTIF('Data By District'!$AC$7:$AC$440,$B9&amp;"-"&amp;U$6)</f>
        <v>1</v>
      </c>
      <c r="V9" s="25">
        <f>COUNTIF('Data By District'!$AC$7:$AC$440,$B9&amp;"-"&amp;V$6)</f>
        <v>2</v>
      </c>
      <c r="W9" s="25">
        <f>COUNTIF('Data By District'!$AC$7:$AC$440,$B9&amp;"-"&amp;W$6)</f>
        <v>2</v>
      </c>
      <c r="X9" s="25">
        <f>COUNTIF('Data By District'!$AC$7:$AC$440,$B9&amp;"-"&amp;X$6)-(Y9)</f>
        <v>1</v>
      </c>
      <c r="Y9" s="25">
        <f>COUNTIF('Data By District'!$AA$7:$AA$440,$B9&amp;"-"&amp;"Yes")</f>
        <v>2</v>
      </c>
      <c r="Z9" s="348">
        <f t="shared" si="7"/>
        <v>0.22222222222222221</v>
      </c>
      <c r="AA9" s="350">
        <f>COUNTIF('Data By District'!$M$7:$M$440, $B9&amp;"-"&amp;1)</f>
        <v>0</v>
      </c>
      <c r="AB9" s="331">
        <f>COUNTIFS('Data By District'!$K$7:$K$440,$B9&amp;"-"&amp;"Yes",'Data By District'!$AC$7:$AC$440,$B9&amp;"-"&amp;X$6)+COUNTIFS('Data By District'!$K$7:$K$440,$B9&amp;"-"&amp;"Yes",'Data By District'!$AC$7:$AC$440,$B9&amp;"-"&amp;W$6)</f>
        <v>4</v>
      </c>
      <c r="AC9" s="328">
        <f t="shared" ref="AC9:AC57" si="32">AB9/AD9</f>
        <v>0.5714285714285714</v>
      </c>
      <c r="AD9" s="332">
        <f>COUNTIF('Data By District'!$K$7:$K$440,$B9&amp;"-"&amp;"Yes")</f>
        <v>7</v>
      </c>
      <c r="AE9" s="332">
        <f t="shared" si="24"/>
        <v>1</v>
      </c>
      <c r="AF9" s="332">
        <f>COUNTIF('Data By District'!$J$7:$J$440,$B9&amp;"-"&amp;"Yes")</f>
        <v>8</v>
      </c>
      <c r="AG9" s="332">
        <f>COUNTIFS('Data By District'!$K$7:$K$440,$B9&amp;"-"&amp;"Yes",'Data By District'!$AB$7:$AB$440,$B9&amp;"-"&amp;"Dem")</f>
        <v>3</v>
      </c>
      <c r="AH9" s="332">
        <f>COUNTIFS('Data By District'!$K$7:$K$440,$B9&amp;"-"&amp;"Yes",'Data By District'!$AB$7:$AB$440,$B9&amp;"-"&amp;"Rep")</f>
        <v>4</v>
      </c>
      <c r="AI9" s="332">
        <f>COUNTIFS('Data By District'!$K$7:$K$440,$B9&amp;"-"&amp;"Yes",'Data By District'!$AB$7:$AB$440,$B9&amp;"-"&amp;"Dem",'Data By District'!$K$7:$K$440,$B9&amp;"-"&amp;"Yes",'Data By District'!$AC$7:$AC$440,$B9&amp;"-"&amp;W$6)+COUNTIFS('Data By District'!$K$7:$K$440,$B9&amp;"-"&amp;"Yes",'Data By District'!$AB$7:$AB$440,$B9&amp;"-"&amp;"Dem",'Data By District'!$K$7:$K$440,$B9&amp;"-"&amp;"Yes",'Data By District'!$AC$7:$AC$440,$B9&amp;"-"&amp;X$6)</f>
        <v>0</v>
      </c>
      <c r="AJ9" s="332">
        <f>COUNTIFS('Data By District'!$K$7:$K$440,$B9&amp;"-"&amp;"Yes",'Data By District'!$AB$7:$AB$440,$B9&amp;"-"&amp;"Rep",'Data By District'!$K$7:$K$440,$B9&amp;"-"&amp;"Yes",'Data By District'!$AC$7:$AC$440,$B9&amp;"-"&amp;W$6)+COUNTIFS('Data By District'!$K$7:$K$440,$B9&amp;"-"&amp;"Yes",'Data By District'!$AB$7:$AB$440,$B9&amp;"-"&amp;"Rep",'Data By District'!$K$7:$K$440,$B9&amp;"-"&amp;"Yes",'Data By District'!$AC$7:$AC$440,$B9&amp;"-"&amp;X$6)</f>
        <v>4</v>
      </c>
      <c r="AK9" s="331">
        <f>COUNTIF('Data By District'!$E$7:$E$440,$B9&amp;"-"&amp;"Yes")</f>
        <v>3</v>
      </c>
      <c r="AL9" s="332">
        <f>COUNTIF('Data By District'!$F$7:$F$440,$B9&amp;"-"&amp;"Yes")</f>
        <v>0</v>
      </c>
      <c r="AM9" s="332">
        <f>COUNTIF('Data By District'!$G$7:$G$440,$B9&amp;"-"&amp;"Yes")</f>
        <v>2</v>
      </c>
      <c r="AN9" s="332">
        <f>COUNTIF('Data By District'!$H$7:$H$440,$B9&amp;"-"&amp;"Yes")</f>
        <v>0</v>
      </c>
      <c r="AO9" s="332">
        <f>COUNTIF('Data By District'!$I$7:$I$440,$B9&amp;"-"&amp;"Yes")</f>
        <v>0</v>
      </c>
      <c r="AP9" s="70">
        <f t="shared" si="8"/>
        <v>2.5765127295514653E-2</v>
      </c>
      <c r="AQ9" s="55">
        <f t="shared" si="25"/>
        <v>0.67272893282447632</v>
      </c>
      <c r="AR9" s="50">
        <f t="shared" si="26"/>
        <v>1467603</v>
      </c>
      <c r="AS9" s="41">
        <f>SUMIF('Data By District'!$C$7:$C$440,$B9,'Data By District'!$O$7:$O$440)</f>
        <v>577943</v>
      </c>
      <c r="AT9" s="41">
        <f>SUMIF('Data By District'!$C$7:$C$440,$B9,'Data By District'!$Q$7:$Q$440)</f>
        <v>817168</v>
      </c>
      <c r="AU9" s="41">
        <f>SUMIF('Data By District'!$C$7:$C$440,$B9,'Data By District'!$S$7:$S$440)</f>
        <v>72492</v>
      </c>
      <c r="AV9" s="263">
        <f t="shared" si="9"/>
        <v>0.39380063954625333</v>
      </c>
      <c r="AW9" s="24">
        <f t="shared" si="10"/>
        <v>0.55680453092559767</v>
      </c>
      <c r="AX9" s="56">
        <f t="shared" si="11"/>
        <v>4.9394829528148963E-2</v>
      </c>
      <c r="AY9" s="25">
        <f>COUNTIF('Data By District'!$AB$7:$AB$440,$B9&amp;"-"&amp;AY$6)</f>
        <v>4</v>
      </c>
      <c r="AZ9" s="25">
        <f>COUNTIF('Data By District'!$AB$7:$AB$440,$B9&amp;"-"&amp;AZ$6)</f>
        <v>5</v>
      </c>
      <c r="BA9" s="25">
        <f>COUNTIF('Data By District'!$AB$7:$AB$440,$B9&amp;"-"&amp;BA$6)</f>
        <v>0</v>
      </c>
      <c r="BB9" s="259">
        <f t="shared" si="27"/>
        <v>0.44444444444444442</v>
      </c>
      <c r="BC9" s="24">
        <f t="shared" si="28"/>
        <v>0.55555555555555558</v>
      </c>
      <c r="BD9" s="56">
        <f t="shared" si="29"/>
        <v>0</v>
      </c>
      <c r="BE9" s="259">
        <f t="shared" si="12"/>
        <v>5.0643804898191092E-2</v>
      </c>
      <c r="BF9" s="24">
        <f t="shared" si="13"/>
        <v>1.2489753700420936E-3</v>
      </c>
      <c r="BG9" s="56">
        <f t="shared" si="14"/>
        <v>4.9394829528148963E-2</v>
      </c>
      <c r="BH9" s="50">
        <f t="shared" si="30"/>
        <v>987299</v>
      </c>
      <c r="BI9" s="41">
        <f>'Data By District'!AH22</f>
        <v>480304</v>
      </c>
      <c r="BJ9" s="41">
        <f>SUMIF('Data By District'!$C$7:$C$440,'Data By State'!$B9,'Data By District'!$AD$7:$AD$440)</f>
        <v>279516</v>
      </c>
      <c r="BK9" s="41">
        <f>SUMIF('Data By District'!$C$7:$C$440,'Data By State'!$B9,'Data By District'!$AE$7:$AE$440)</f>
        <v>201749</v>
      </c>
      <c r="BL9" s="50">
        <f>SUMIF('Data By District'!$C$7:$C$440,'Data By State'!$B9,'Data By District'!$AF$7:$AF$440)</f>
        <v>72492</v>
      </c>
      <c r="BM9" s="64">
        <f t="shared" si="31"/>
        <v>0.32727106717552362</v>
      </c>
      <c r="BN9" s="24">
        <f t="shared" si="15"/>
        <v>0.4836393900436548</v>
      </c>
      <c r="BO9" s="24">
        <f t="shared" si="16"/>
        <v>0.24688803281577351</v>
      </c>
      <c r="BP9" s="56">
        <f t="shared" si="17"/>
        <v>1</v>
      </c>
    </row>
    <row r="10" spans="1:71" ht="16.5" thickBot="1">
      <c r="A10" s="17" t="s">
        <v>67</v>
      </c>
      <c r="B10" s="26" t="s">
        <v>3</v>
      </c>
      <c r="C10" s="437">
        <v>848592</v>
      </c>
      <c r="D10" s="437">
        <v>2124019</v>
      </c>
      <c r="E10" s="25">
        <f t="shared" si="0"/>
        <v>25</v>
      </c>
      <c r="F10" s="25">
        <f t="shared" si="1"/>
        <v>19</v>
      </c>
      <c r="G10" s="73">
        <f t="shared" si="18"/>
        <v>18</v>
      </c>
      <c r="H10" s="25">
        <f t="shared" si="19"/>
        <v>9</v>
      </c>
      <c r="I10" s="25">
        <f t="shared" si="20"/>
        <v>28</v>
      </c>
      <c r="J10" s="25">
        <f t="shared" si="21"/>
        <v>40</v>
      </c>
      <c r="K10" s="68">
        <f t="shared" si="22"/>
        <v>23</v>
      </c>
      <c r="L10" s="67">
        <f t="shared" si="2"/>
        <v>24.6</v>
      </c>
      <c r="M10" s="64">
        <f t="shared" si="23"/>
        <v>0.47208820037504307</v>
      </c>
      <c r="N10" s="419">
        <f>AVERAGEIF('Data By District'!$C$7:$C$441,B10,'Data By District'!$Y$7:$Y$441)</f>
        <v>0.27284104149112326</v>
      </c>
      <c r="O10" s="29">
        <f t="shared" si="3"/>
        <v>0.5</v>
      </c>
      <c r="P10" s="29">
        <f>SUMIF('Data By District'!$C$7:$C$440,B10,'Data By District'!$V$7:$V$440)/D10</f>
        <v>0.23993711920656077</v>
      </c>
      <c r="Q10" s="29">
        <f t="shared" si="4"/>
        <v>0.34659219504678251</v>
      </c>
      <c r="R10" s="70">
        <f t="shared" si="5"/>
        <v>0.39107559772299588</v>
      </c>
      <c r="S10" s="69">
        <f t="shared" si="6"/>
        <v>4</v>
      </c>
      <c r="T10" s="25">
        <f>COUNTIF('Data By District'!$AC$7:$AC$440,$B10&amp;"-"&amp;T$6)</f>
        <v>0</v>
      </c>
      <c r="U10" s="25">
        <f>COUNTIF('Data By District'!$AC$7:$AC$440,$B10&amp;"-"&amp;U$6)</f>
        <v>1</v>
      </c>
      <c r="V10" s="25">
        <f>COUNTIF('Data By District'!$AC$7:$AC$440,$B10&amp;"-"&amp;V$6)</f>
        <v>1</v>
      </c>
      <c r="W10" s="25">
        <f>COUNTIF('Data By District'!$AC$7:$AC$440,$B10&amp;"-"&amp;W$6)</f>
        <v>1</v>
      </c>
      <c r="X10" s="25">
        <f>COUNTIF('Data By District'!$AC$7:$AC$440,$B10&amp;"-"&amp;X$6)-(Y10)</f>
        <v>0</v>
      </c>
      <c r="Y10" s="25">
        <f>COUNTIF('Data By District'!$AA$7:$AA$440,$B10&amp;"-"&amp;"Yes")</f>
        <v>1</v>
      </c>
      <c r="Z10" s="348">
        <f t="shared" si="7"/>
        <v>0.25</v>
      </c>
      <c r="AA10" s="350">
        <f>COUNTIF('Data By District'!$M$7:$M$440, $B10&amp;"-"&amp;1)</f>
        <v>0</v>
      </c>
      <c r="AB10" s="331">
        <f>COUNTIFS('Data By District'!$K$7:$K$440,$B10&amp;"-"&amp;"Yes",'Data By District'!$AC$7:$AC$440,$B10&amp;"-"&amp;X$6)+COUNTIFS('Data By District'!$K$7:$K$440,$B10&amp;"-"&amp;"Yes",'Data By District'!$AC$7:$AC$440,$B10&amp;"-"&amp;W$6)</f>
        <v>2</v>
      </c>
      <c r="AC10" s="328">
        <f t="shared" si="32"/>
        <v>1</v>
      </c>
      <c r="AD10" s="332">
        <f>COUNTIF('Data By District'!$K$7:$K$440,$B10&amp;"-"&amp;"Yes")</f>
        <v>2</v>
      </c>
      <c r="AE10" s="332">
        <f t="shared" si="24"/>
        <v>0</v>
      </c>
      <c r="AF10" s="332">
        <f>COUNTIF('Data By District'!$J$7:$J$440,$B10&amp;"-"&amp;"Yes")</f>
        <v>2</v>
      </c>
      <c r="AG10" s="332">
        <f>COUNTIFS('Data By District'!$K$7:$K$440,$B10&amp;"-"&amp;"Yes",'Data By District'!$AB$7:$AB$440,$B10&amp;"-"&amp;"Dem")</f>
        <v>0</v>
      </c>
      <c r="AH10" s="332">
        <f>COUNTIFS('Data By District'!$K$7:$K$440,$B10&amp;"-"&amp;"Yes",'Data By District'!$AB$7:$AB$440,$B10&amp;"-"&amp;"Rep")</f>
        <v>2</v>
      </c>
      <c r="AI10" s="332">
        <f>COUNTIFS('Data By District'!$K$7:$K$440,$B10&amp;"-"&amp;"Yes",'Data By District'!$AB$7:$AB$440,$B10&amp;"-"&amp;"Dem",'Data By District'!$K$7:$K$440,$B10&amp;"-"&amp;"Yes",'Data By District'!$AC$7:$AC$440,$B10&amp;"-"&amp;W$6)+COUNTIFS('Data By District'!$K$7:$K$440,$B10&amp;"-"&amp;"Yes",'Data By District'!$AB$7:$AB$440,$B10&amp;"-"&amp;"Dem",'Data By District'!$K$7:$K$440,$B10&amp;"-"&amp;"Yes",'Data By District'!$AC$7:$AC$440,$B10&amp;"-"&amp;X$6)</f>
        <v>0</v>
      </c>
      <c r="AJ10" s="332">
        <f>COUNTIFS('Data By District'!$K$7:$K$440,$B10&amp;"-"&amp;"Yes",'Data By District'!$AB$7:$AB$440,$B10&amp;"-"&amp;"Rep",'Data By District'!$K$7:$K$440,$B10&amp;"-"&amp;"Yes",'Data By District'!$AC$7:$AC$440,$B10&amp;"-"&amp;W$6)+COUNTIFS('Data By District'!$K$7:$K$440,$B10&amp;"-"&amp;"Yes",'Data By District'!$AB$7:$AB$440,$B10&amp;"-"&amp;"Rep",'Data By District'!$K$7:$K$440,$B10&amp;"-"&amp;"Yes",'Data By District'!$AC$7:$AC$440,$B10&amp;"-"&amp;X$6)</f>
        <v>2</v>
      </c>
      <c r="AK10" s="331">
        <f>COUNTIF('Data By District'!$E$7:$E$440,$B10&amp;"-"&amp;"Yes")</f>
        <v>0</v>
      </c>
      <c r="AL10" s="332">
        <f>COUNTIF('Data By District'!$F$7:$F$440,$B10&amp;"-"&amp;"Yes")</f>
        <v>0</v>
      </c>
      <c r="AM10" s="332">
        <f>COUNTIF('Data By District'!$G$7:$G$440,$B10&amp;"-"&amp;"Yes")</f>
        <v>0</v>
      </c>
      <c r="AN10" s="332">
        <f>COUNTIF('Data By District'!$H$7:$H$440,$B10&amp;"-"&amp;"Yes")</f>
        <v>0</v>
      </c>
      <c r="AO10" s="332">
        <f>COUNTIF('Data By District'!$I$7:$I$440,$B10&amp;"-"&amp;"Yes")</f>
        <v>0</v>
      </c>
      <c r="AP10" s="70">
        <f t="shared" si="8"/>
        <v>2.1140901634707845E-2</v>
      </c>
      <c r="AQ10" s="55">
        <f t="shared" si="25"/>
        <v>0.63988288717778319</v>
      </c>
      <c r="AR10" s="50">
        <f t="shared" si="26"/>
        <v>830652</v>
      </c>
      <c r="AS10" s="41">
        <f>SUMIF('Data By District'!$C$7:$C$440,$B10,'Data By District'!$O$7:$O$440)</f>
        <v>254774</v>
      </c>
      <c r="AT10" s="41">
        <f>SUMIF('Data By District'!$C$7:$C$440,$B10,'Data By District'!$Q$7:$Q$440)</f>
        <v>509631</v>
      </c>
      <c r="AU10" s="41">
        <f>SUMIF('Data By District'!$C$7:$C$440,$B10,'Data By District'!$S$7:$S$440)</f>
        <v>66247</v>
      </c>
      <c r="AV10" s="263">
        <f t="shared" si="9"/>
        <v>0.3067156883989926</v>
      </c>
      <c r="AW10" s="24">
        <f t="shared" si="10"/>
        <v>0.61353129830542752</v>
      </c>
      <c r="AX10" s="56">
        <f t="shared" si="11"/>
        <v>7.9753013295579864E-2</v>
      </c>
      <c r="AY10" s="25">
        <f>COUNTIF('Data By District'!$AB$7:$AB$440,$B10&amp;"-"&amp;AY$6)</f>
        <v>0</v>
      </c>
      <c r="AZ10" s="25">
        <f>COUNTIF('Data By District'!$AB$7:$AB$440,$B10&amp;"-"&amp;AZ$6)</f>
        <v>4</v>
      </c>
      <c r="BA10" s="25">
        <f>COUNTIF('Data By District'!$AB$7:$AB$440,$B10&amp;"-"&amp;BA$6)</f>
        <v>0</v>
      </c>
      <c r="BB10" s="259">
        <f t="shared" si="27"/>
        <v>0</v>
      </c>
      <c r="BC10" s="24">
        <f t="shared" si="28"/>
        <v>1</v>
      </c>
      <c r="BD10" s="56">
        <f t="shared" si="29"/>
        <v>0</v>
      </c>
      <c r="BE10" s="259">
        <f t="shared" si="12"/>
        <v>0.3067156883989926</v>
      </c>
      <c r="BF10" s="24">
        <f t="shared" si="13"/>
        <v>0.38646870169457248</v>
      </c>
      <c r="BG10" s="56">
        <f t="shared" si="14"/>
        <v>7.9753013295579864E-2</v>
      </c>
      <c r="BH10" s="50">
        <f t="shared" si="30"/>
        <v>531520</v>
      </c>
      <c r="BI10" s="41">
        <f>'Data By District'!AH26</f>
        <v>299132</v>
      </c>
      <c r="BJ10" s="41">
        <f>SUMIF('Data By District'!$C$7:$C$440,'Data By State'!$B10,'Data By District'!$AD$7:$AD$440)</f>
        <v>254774</v>
      </c>
      <c r="BK10" s="41">
        <f>SUMIF('Data By District'!$C$7:$C$440,'Data By State'!$B10,'Data By District'!$AE$7:$AE$440)</f>
        <v>0</v>
      </c>
      <c r="BL10" s="50">
        <f>SUMIF('Data By District'!$C$7:$C$440,'Data By State'!$B10,'Data By District'!$AF$7:$AF$440)</f>
        <v>66247</v>
      </c>
      <c r="BM10" s="64">
        <f t="shared" si="31"/>
        <v>0.36011711282221676</v>
      </c>
      <c r="BN10" s="24">
        <f t="shared" si="15"/>
        <v>1</v>
      </c>
      <c r="BO10" s="24">
        <f t="shared" si="16"/>
        <v>0</v>
      </c>
      <c r="BP10" s="56">
        <f t="shared" si="17"/>
        <v>1</v>
      </c>
    </row>
    <row r="11" spans="1:71" ht="16.5" thickBot="1">
      <c r="A11" s="17" t="s">
        <v>68</v>
      </c>
      <c r="B11" s="26" t="s">
        <v>4</v>
      </c>
      <c r="C11" s="437">
        <v>7317581</v>
      </c>
      <c r="D11" s="437">
        <v>24408163</v>
      </c>
      <c r="E11" s="25">
        <f t="shared" si="0"/>
        <v>33</v>
      </c>
      <c r="F11" s="25">
        <f t="shared" si="1"/>
        <v>20</v>
      </c>
      <c r="G11" s="73">
        <f t="shared" si="18"/>
        <v>24</v>
      </c>
      <c r="H11" s="25">
        <f t="shared" si="19"/>
        <v>17</v>
      </c>
      <c r="I11" s="25">
        <f t="shared" si="20"/>
        <v>44</v>
      </c>
      <c r="J11" s="25">
        <f t="shared" si="21"/>
        <v>21</v>
      </c>
      <c r="K11" s="68">
        <f t="shared" si="22"/>
        <v>43</v>
      </c>
      <c r="L11" s="67">
        <f t="shared" si="2"/>
        <v>30</v>
      </c>
      <c r="M11" s="64">
        <f t="shared" si="23"/>
        <v>0.46459656024303475</v>
      </c>
      <c r="N11" s="419">
        <f>AVERAGEIF('Data By District'!$C$7:$C$441,B11,'Data By District'!$Y$7:$Y$441)</f>
        <v>0.29383824542200115</v>
      </c>
      <c r="O11" s="29">
        <f t="shared" si="3"/>
        <v>0.60377358490566035</v>
      </c>
      <c r="P11" s="29">
        <f>SUMIF('Data By District'!$C$7:$C$440,B11,'Data By District'!$V$7:$V$440)/D11</f>
        <v>0.18906752630257345</v>
      </c>
      <c r="Q11" s="29">
        <f t="shared" si="4"/>
        <v>0.15754042106231142</v>
      </c>
      <c r="R11" s="70">
        <f t="shared" si="5"/>
        <v>0.29221449397892008</v>
      </c>
      <c r="S11" s="69">
        <f t="shared" si="6"/>
        <v>53</v>
      </c>
      <c r="T11" s="25">
        <f>COUNTIF('Data By District'!$AC$7:$AC$440,$B11&amp;"-"&amp;T$6)</f>
        <v>8</v>
      </c>
      <c r="U11" s="25">
        <f>COUNTIF('Data By District'!$AC$7:$AC$440,$B11&amp;"-"&amp;U$6)</f>
        <v>3</v>
      </c>
      <c r="V11" s="25">
        <f>COUNTIF('Data By District'!$AC$7:$AC$440,$B11&amp;"-"&amp;V$6)</f>
        <v>10</v>
      </c>
      <c r="W11" s="25">
        <f>COUNTIF('Data By District'!$AC$7:$AC$440,$B11&amp;"-"&amp;W$6)</f>
        <v>16</v>
      </c>
      <c r="X11" s="25">
        <f>COUNTIF('Data By District'!$AC$7:$AC$440,$B11&amp;"-"&amp;X$6)-(Y11)</f>
        <v>5</v>
      </c>
      <c r="Y11" s="25">
        <f>COUNTIF('Data By District'!$AA$7:$AA$440,$B11&amp;"-"&amp;"Yes")</f>
        <v>11</v>
      </c>
      <c r="Z11" s="348">
        <f t="shared" si="7"/>
        <v>0.20754716981132076</v>
      </c>
      <c r="AA11" s="350">
        <f>COUNTIF('Data By District'!$M$7:$M$440, $B11&amp;"-"&amp;1)</f>
        <v>0</v>
      </c>
      <c r="AB11" s="331">
        <f>COUNTIFS('Data By District'!$K$7:$K$440,$B11&amp;"-"&amp;"Yes",'Data By District'!$AC$7:$AC$440,$B11&amp;"-"&amp;X$6)+COUNTIFS('Data By District'!$K$7:$K$440,$B11&amp;"-"&amp;"Yes",'Data By District'!$AC$7:$AC$440,$B11&amp;"-"&amp;W$6)</f>
        <v>29</v>
      </c>
      <c r="AC11" s="328">
        <f t="shared" si="32"/>
        <v>0.61702127659574468</v>
      </c>
      <c r="AD11" s="332">
        <f>COUNTIF('Data By District'!$K$7:$K$440,$B11&amp;"-"&amp;"Yes")</f>
        <v>47</v>
      </c>
      <c r="AE11" s="332">
        <f t="shared" si="24"/>
        <v>0</v>
      </c>
      <c r="AF11" s="332">
        <f>COUNTIF('Data By District'!$J$7:$J$440,$B11&amp;"-"&amp;"Yes")</f>
        <v>47</v>
      </c>
      <c r="AG11" s="332">
        <f>COUNTIFS('Data By District'!$K$7:$K$440,$B11&amp;"-"&amp;"Yes",'Data By District'!$AB$7:$AB$440,$B11&amp;"-"&amp;"Dem")</f>
        <v>35</v>
      </c>
      <c r="AH11" s="332">
        <f>COUNTIFS('Data By District'!$K$7:$K$440,$B11&amp;"-"&amp;"Yes",'Data By District'!$AB$7:$AB$440,$B11&amp;"-"&amp;"Rep")</f>
        <v>12</v>
      </c>
      <c r="AI11" s="332">
        <f>COUNTIFS('Data By District'!$K$7:$K$440,$B11&amp;"-"&amp;"Yes",'Data By District'!$AB$7:$AB$440,$B11&amp;"-"&amp;"Dem",'Data By District'!$K$7:$K$440,$B11&amp;"-"&amp;"Yes",'Data By District'!$AC$7:$AC$440,$B11&amp;"-"&amp;W$6)+COUNTIFS('Data By District'!$K$7:$K$440,$B11&amp;"-"&amp;"Yes",'Data By District'!$AB$7:$AB$440,$B11&amp;"-"&amp;"Dem",'Data By District'!$K$7:$K$440,$B11&amp;"-"&amp;"Yes",'Data By District'!$AC$7:$AC$440,$B11&amp;"-"&amp;X$6)</f>
        <v>19</v>
      </c>
      <c r="AJ11" s="332">
        <f>COUNTIFS('Data By District'!$K$7:$K$440,$B11&amp;"-"&amp;"Yes",'Data By District'!$AB$7:$AB$440,$B11&amp;"-"&amp;"Rep",'Data By District'!$K$7:$K$440,$B11&amp;"-"&amp;"Yes",'Data By District'!$AC$7:$AC$440,$B11&amp;"-"&amp;W$6)+COUNTIFS('Data By District'!$K$7:$K$440,$B11&amp;"-"&amp;"Yes",'Data By District'!$AB$7:$AB$440,$B11&amp;"-"&amp;"Rep",'Data By District'!$K$7:$K$440,$B11&amp;"-"&amp;"Yes",'Data By District'!$AC$7:$AC$440,$B11&amp;"-"&amp;X$6)</f>
        <v>10</v>
      </c>
      <c r="AK11" s="331">
        <f>COUNTIF('Data By District'!$E$7:$E$440,$B11&amp;"-"&amp;"Yes")</f>
        <v>19</v>
      </c>
      <c r="AL11" s="332">
        <f>COUNTIF('Data By District'!$F$7:$F$440,$B11&amp;"-"&amp;"Yes")</f>
        <v>3</v>
      </c>
      <c r="AM11" s="332">
        <f>COUNTIF('Data By District'!$G$7:$G$440,$B11&amp;"-"&amp;"Yes")</f>
        <v>9</v>
      </c>
      <c r="AN11" s="332">
        <f>COUNTIF('Data By District'!$H$7:$H$440,$B11&amp;"-"&amp;"Yes")</f>
        <v>5</v>
      </c>
      <c r="AO11" s="332">
        <f>COUNTIF('Data By District'!$I$7:$I$440,$B11&amp;"-"&amp;"Yes")</f>
        <v>0</v>
      </c>
      <c r="AP11" s="70">
        <f t="shared" si="8"/>
        <v>2.5303717171015941E-2</v>
      </c>
      <c r="AQ11" s="55">
        <f t="shared" si="25"/>
        <v>0.68469883779963014</v>
      </c>
      <c r="AR11" s="50">
        <f t="shared" si="26"/>
        <v>7132419</v>
      </c>
      <c r="AS11" s="41">
        <f>SUMIF('Data By District'!$C$7:$C$440,$B11,'Data By District'!$O$7:$O$440)+SUMIF('Data By District'!$C$7:$C$440,$B11,'Data By District'!$P$7:$P$440)</f>
        <v>4067737</v>
      </c>
      <c r="AT11" s="41">
        <f>SUMIF('Data By District'!$C$7:$C$440,$B11,'Data By District'!$Q$7:$Q$440)+SUMIF('Data By District'!$C$7:$C$440,$B11,'Data By District'!$R$7:$R$440)</f>
        <v>2950677</v>
      </c>
      <c r="AU11" s="41">
        <f>SUMIF('Data By District'!$C$7:$C$440,$B11,'Data By District'!$S$7:$S$440)</f>
        <v>114005</v>
      </c>
      <c r="AV11" s="263">
        <f t="shared" si="9"/>
        <v>0.5703166064696984</v>
      </c>
      <c r="AW11" s="24">
        <f t="shared" si="10"/>
        <v>0.41369933538677411</v>
      </c>
      <c r="AX11" s="56">
        <f t="shared" si="11"/>
        <v>1.5984058143527463E-2</v>
      </c>
      <c r="AY11" s="25">
        <f>COUNTIF('Data By District'!$AB$7:$AB$440,$B11&amp;"-"&amp;AY$6)</f>
        <v>39</v>
      </c>
      <c r="AZ11" s="25">
        <f>COUNTIF('Data By District'!$AB$7:$AB$440,$B11&amp;"-"&amp;AZ$6)</f>
        <v>14</v>
      </c>
      <c r="BA11" s="25">
        <f>COUNTIF('Data By District'!$AB$7:$AB$440,$B11&amp;"-"&amp;BA$6)</f>
        <v>0</v>
      </c>
      <c r="BB11" s="259">
        <f t="shared" si="27"/>
        <v>0.73584905660377353</v>
      </c>
      <c r="BC11" s="24">
        <f t="shared" si="28"/>
        <v>0.26415094339622641</v>
      </c>
      <c r="BD11" s="56">
        <f t="shared" si="29"/>
        <v>0</v>
      </c>
      <c r="BE11" s="259">
        <f t="shared" si="12"/>
        <v>0.16553245013407514</v>
      </c>
      <c r="BF11" s="24">
        <f t="shared" si="13"/>
        <v>0.1495483919905477</v>
      </c>
      <c r="BG11" s="56">
        <f t="shared" si="14"/>
        <v>1.5984058143527463E-2</v>
      </c>
      <c r="BH11" s="50">
        <f t="shared" si="30"/>
        <v>4883559</v>
      </c>
      <c r="BI11" s="41">
        <f>'Data By District'!AH79</f>
        <v>2248860</v>
      </c>
      <c r="BJ11" s="41">
        <f>SUMIF('Data By District'!$C$7:$C$440,'Data By State'!$B11,'Data By District'!$AD$7:$AD$440)</f>
        <v>591555</v>
      </c>
      <c r="BK11" s="41">
        <f>SUMIF('Data By District'!$C$7:$C$440,'Data By State'!$B11,'Data By District'!$AE$7:$AE$440)</f>
        <v>1508898</v>
      </c>
      <c r="BL11" s="50">
        <f>SUMIF('Data By District'!$C$7:$C$440,'Data By State'!$B11,'Data By District'!$AF$7:$AF$440)</f>
        <v>114005</v>
      </c>
      <c r="BM11" s="64">
        <f t="shared" si="31"/>
        <v>0.31530116220036991</v>
      </c>
      <c r="BN11" s="24">
        <f t="shared" si="15"/>
        <v>0.1454260685978469</v>
      </c>
      <c r="BO11" s="24">
        <f t="shared" si="16"/>
        <v>0.51137349157498435</v>
      </c>
      <c r="BP11" s="56">
        <f t="shared" si="17"/>
        <v>1</v>
      </c>
    </row>
    <row r="12" spans="1:71" ht="16.5" thickBot="1">
      <c r="A12" s="17" t="s">
        <v>69</v>
      </c>
      <c r="B12" s="26" t="s">
        <v>5</v>
      </c>
      <c r="C12" s="437">
        <v>2041020</v>
      </c>
      <c r="D12" s="437">
        <v>3819197</v>
      </c>
      <c r="E12" s="25">
        <f t="shared" si="0"/>
        <v>1</v>
      </c>
      <c r="F12" s="25">
        <f t="shared" si="1"/>
        <v>5</v>
      </c>
      <c r="G12" s="73">
        <f t="shared" si="18"/>
        <v>10</v>
      </c>
      <c r="H12" s="25">
        <f t="shared" si="19"/>
        <v>8</v>
      </c>
      <c r="I12" s="25">
        <f t="shared" si="20"/>
        <v>3</v>
      </c>
      <c r="J12" s="25">
        <f t="shared" si="21"/>
        <v>6</v>
      </c>
      <c r="K12" s="68">
        <f t="shared" si="22"/>
        <v>4</v>
      </c>
      <c r="L12" s="67">
        <f t="shared" si="2"/>
        <v>6</v>
      </c>
      <c r="M12" s="64">
        <f t="shared" si="23"/>
        <v>0.58451829719146764</v>
      </c>
      <c r="N12" s="419">
        <f>AVERAGEIF('Data By District'!$C$7:$C$441,B12,'Data By District'!$Y$7:$Y$441)</f>
        <v>0.20958255643172691</v>
      </c>
      <c r="O12" s="29">
        <f t="shared" si="3"/>
        <v>0.42857142857142855</v>
      </c>
      <c r="P12" s="29">
        <f>SUMIF('Data By District'!$C$7:$C$440,B12,'Data By District'!$V$7:$V$440)/D12</f>
        <v>0.30811660147407949</v>
      </c>
      <c r="Q12" s="29">
        <f t="shared" si="4"/>
        <v>5.5487731987665517E-2</v>
      </c>
      <c r="R12" s="70">
        <f t="shared" si="5"/>
        <v>0.52380696779977576</v>
      </c>
      <c r="S12" s="69">
        <f t="shared" si="6"/>
        <v>7</v>
      </c>
      <c r="T12" s="25">
        <f>COUNTIF('Data By District'!$AC$7:$AC$440,$B12&amp;"-"&amp;T$6)</f>
        <v>0</v>
      </c>
      <c r="U12" s="25">
        <f>COUNTIF('Data By District'!$AC$7:$AC$440,$B12&amp;"-"&amp;U$6)</f>
        <v>1</v>
      </c>
      <c r="V12" s="25">
        <f>COUNTIF('Data By District'!$AC$7:$AC$440,$B12&amp;"-"&amp;V$6)</f>
        <v>3</v>
      </c>
      <c r="W12" s="25">
        <f>COUNTIF('Data By District'!$AC$7:$AC$440,$B12&amp;"-"&amp;W$6)</f>
        <v>3</v>
      </c>
      <c r="X12" s="25">
        <f>COUNTIF('Data By District'!$AC$7:$AC$440,$B12&amp;"-"&amp;X$6)-(Y12)</f>
        <v>0</v>
      </c>
      <c r="Y12" s="25">
        <f>COUNTIF('Data By District'!$AA$7:$AA$440,$B12&amp;"-"&amp;"Yes")</f>
        <v>0</v>
      </c>
      <c r="Z12" s="348">
        <f t="shared" si="7"/>
        <v>0</v>
      </c>
      <c r="AA12" s="350">
        <f>COUNTIF('Data By District'!$M$7:$M$440, $B12&amp;"-"&amp;1)</f>
        <v>0</v>
      </c>
      <c r="AB12" s="331">
        <f>COUNTIFS('Data By District'!$K$7:$K$440,$B12&amp;"-"&amp;"Yes",'Data By District'!$AC$7:$AC$440,$B12&amp;"-"&amp;X$6)+COUNTIFS('Data By District'!$K$7:$K$440,$B12&amp;"-"&amp;"Yes",'Data By District'!$AC$7:$AC$440,$B12&amp;"-"&amp;W$6)</f>
        <v>2</v>
      </c>
      <c r="AC12" s="328">
        <f t="shared" si="32"/>
        <v>0.33333333333333331</v>
      </c>
      <c r="AD12" s="332">
        <f>COUNTIF('Data By District'!$K$7:$K$440,$B12&amp;"-"&amp;"Yes")</f>
        <v>6</v>
      </c>
      <c r="AE12" s="332">
        <f t="shared" si="24"/>
        <v>0</v>
      </c>
      <c r="AF12" s="332">
        <f>COUNTIF('Data By District'!$J$7:$J$440,$B12&amp;"-"&amp;"Yes")</f>
        <v>6</v>
      </c>
      <c r="AG12" s="332">
        <f>COUNTIFS('Data By District'!$K$7:$K$440,$B12&amp;"-"&amp;"Yes",'Data By District'!$AB$7:$AB$440,$B12&amp;"-"&amp;"Dem")</f>
        <v>3</v>
      </c>
      <c r="AH12" s="332">
        <f>COUNTIFS('Data By District'!$K$7:$K$440,$B12&amp;"-"&amp;"Yes",'Data By District'!$AB$7:$AB$440,$B12&amp;"-"&amp;"Rep")</f>
        <v>3</v>
      </c>
      <c r="AI12" s="332">
        <f>COUNTIFS('Data By District'!$K$7:$K$440,$B12&amp;"-"&amp;"Yes",'Data By District'!$AB$7:$AB$440,$B12&amp;"-"&amp;"Dem",'Data By District'!$K$7:$K$440,$B12&amp;"-"&amp;"Yes",'Data By District'!$AC$7:$AC$440,$B12&amp;"-"&amp;W$6)+COUNTIFS('Data By District'!$K$7:$K$440,$B12&amp;"-"&amp;"Yes",'Data By District'!$AB$7:$AB$440,$B12&amp;"-"&amp;"Dem",'Data By District'!$K$7:$K$440,$B12&amp;"-"&amp;"Yes",'Data By District'!$AC$7:$AC$440,$B12&amp;"-"&amp;X$6)</f>
        <v>1</v>
      </c>
      <c r="AJ12" s="332">
        <f>COUNTIFS('Data By District'!$K$7:$K$440,$B12&amp;"-"&amp;"Yes",'Data By District'!$AB$7:$AB$440,$B12&amp;"-"&amp;"Rep",'Data By District'!$K$7:$K$440,$B12&amp;"-"&amp;"Yes",'Data By District'!$AC$7:$AC$440,$B12&amp;"-"&amp;W$6)+COUNTIFS('Data By District'!$K$7:$K$440,$B12&amp;"-"&amp;"Yes",'Data By District'!$AB$7:$AB$440,$B12&amp;"-"&amp;"Rep",'Data By District'!$K$7:$K$440,$B12&amp;"-"&amp;"Yes",'Data By District'!$AC$7:$AC$440,$B12&amp;"-"&amp;X$6)</f>
        <v>1</v>
      </c>
      <c r="AK12" s="331">
        <f>COUNTIF('Data By District'!$E$7:$E$440,$B12&amp;"-"&amp;"Yes")</f>
        <v>1</v>
      </c>
      <c r="AL12" s="332">
        <f>COUNTIF('Data By District'!$F$7:$F$440,$B12&amp;"-"&amp;"Yes")</f>
        <v>0</v>
      </c>
      <c r="AM12" s="332">
        <f>COUNTIF('Data By District'!$G$7:$G$440,$B12&amp;"-"&amp;"Yes")</f>
        <v>0</v>
      </c>
      <c r="AN12" s="332">
        <f>COUNTIF('Data By District'!$H$7:$H$440,$B12&amp;"-"&amp;"Yes")</f>
        <v>0</v>
      </c>
      <c r="AO12" s="332">
        <f>COUNTIF('Data By District'!$I$7:$I$440,$B12&amp;"-"&amp;"Yes")</f>
        <v>0</v>
      </c>
      <c r="AP12" s="70">
        <f t="shared" si="8"/>
        <v>1.984203976443151E-2</v>
      </c>
      <c r="AQ12" s="55">
        <f t="shared" si="25"/>
        <v>0.61820664806485504</v>
      </c>
      <c r="AR12" s="50">
        <f t="shared" si="26"/>
        <v>2000522</v>
      </c>
      <c r="AS12" s="41">
        <f>SUMIF('Data By District'!$C$7:$C$440,$B12,'Data By District'!$O$7:$O$440)</f>
        <v>936417</v>
      </c>
      <c r="AT12" s="41">
        <f>SUMIF('Data By District'!$C$7:$C$440,$B12,'Data By District'!$Q$7:$Q$440)</f>
        <v>1000197</v>
      </c>
      <c r="AU12" s="41">
        <f>SUMIF('Data By District'!$C$7:$C$440,$B12,'Data By District'!$S$7:$S$440)</f>
        <v>63908</v>
      </c>
      <c r="AV12" s="263">
        <f t="shared" si="9"/>
        <v>0.46808632946800888</v>
      </c>
      <c r="AW12" s="24">
        <f t="shared" si="10"/>
        <v>0.49996800834982069</v>
      </c>
      <c r="AX12" s="56">
        <f t="shared" si="11"/>
        <v>3.1945662182170452E-2</v>
      </c>
      <c r="AY12" s="25">
        <f>COUNTIF('Data By District'!$AB$7:$AB$440,$B12&amp;"-"&amp;AY$6)</f>
        <v>3</v>
      </c>
      <c r="AZ12" s="25">
        <f>COUNTIF('Data By District'!$AB$7:$AB$440,$B12&amp;"-"&amp;AZ$6)</f>
        <v>4</v>
      </c>
      <c r="BA12" s="25">
        <f>COUNTIF('Data By District'!$AB$7:$AB$440,$B12&amp;"-"&amp;BA$6)</f>
        <v>0</v>
      </c>
      <c r="BB12" s="259">
        <f t="shared" si="27"/>
        <v>0.42857142857142855</v>
      </c>
      <c r="BC12" s="24">
        <f t="shared" si="28"/>
        <v>0.5714285714285714</v>
      </c>
      <c r="BD12" s="56">
        <f t="shared" si="29"/>
        <v>0</v>
      </c>
      <c r="BE12" s="259">
        <f t="shared" si="12"/>
        <v>3.9514900896580329E-2</v>
      </c>
      <c r="BF12" s="24">
        <f t="shared" si="13"/>
        <v>7.1460563078750705E-2</v>
      </c>
      <c r="BG12" s="56">
        <f t="shared" si="14"/>
        <v>3.1945662182170452E-2</v>
      </c>
      <c r="BH12" s="50">
        <f t="shared" si="30"/>
        <v>1236736</v>
      </c>
      <c r="BI12" s="41">
        <f>'Data By District'!AH86</f>
        <v>763786</v>
      </c>
      <c r="BJ12" s="41">
        <f>SUMIF('Data By District'!$C$7:$C$440,'Data By State'!$B12,'Data By District'!$AD$7:$AD$440)</f>
        <v>408611</v>
      </c>
      <c r="BK12" s="41">
        <f>SUMIF('Data By District'!$C$7:$C$440,'Data By State'!$B12,'Data By District'!$AE$7:$AE$440)</f>
        <v>351245</v>
      </c>
      <c r="BL12" s="50">
        <f>SUMIF('Data By District'!$C$7:$C$440,'Data By State'!$B12,'Data By District'!$AF$7:$AF$440)</f>
        <v>63908</v>
      </c>
      <c r="BM12" s="64">
        <f t="shared" si="31"/>
        <v>0.38179335193514491</v>
      </c>
      <c r="BN12" s="24">
        <f t="shared" si="15"/>
        <v>0.43635581156685538</v>
      </c>
      <c r="BO12" s="24">
        <f t="shared" si="16"/>
        <v>0.35117581836378231</v>
      </c>
      <c r="BP12" s="56">
        <f t="shared" si="17"/>
        <v>1</v>
      </c>
    </row>
    <row r="13" spans="1:71" ht="16.5" thickBot="1">
      <c r="A13" s="17" t="s">
        <v>70</v>
      </c>
      <c r="B13" s="26" t="s">
        <v>6</v>
      </c>
      <c r="C13" s="437">
        <v>1089880</v>
      </c>
      <c r="D13" s="437">
        <v>2577986</v>
      </c>
      <c r="E13" s="25">
        <f t="shared" si="0"/>
        <v>20</v>
      </c>
      <c r="F13" s="25">
        <f t="shared" si="1"/>
        <v>23</v>
      </c>
      <c r="G13" s="73">
        <f t="shared" si="18"/>
        <v>9</v>
      </c>
      <c r="H13" s="25">
        <f t="shared" si="19"/>
        <v>16</v>
      </c>
      <c r="I13" s="25">
        <f t="shared" si="20"/>
        <v>24</v>
      </c>
      <c r="J13" s="25">
        <f t="shared" si="21"/>
        <v>46</v>
      </c>
      <c r="K13" s="68">
        <f t="shared" si="22"/>
        <v>16</v>
      </c>
      <c r="L13" s="67">
        <f t="shared" si="2"/>
        <v>23.8</v>
      </c>
      <c r="M13" s="64">
        <f t="shared" si="23"/>
        <v>0.45882528268357392</v>
      </c>
      <c r="N13" s="419">
        <f>AVERAGEIF('Data By District'!$C$7:$C$441,B13,'Data By District'!$Y$7:$Y$441)</f>
        <v>0.2045491715361368</v>
      </c>
      <c r="O13" s="29">
        <f t="shared" si="3"/>
        <v>0.6</v>
      </c>
      <c r="P13" s="29">
        <f>SUMIF('Data By District'!$C$7:$C$440,B13,'Data By District'!$V$7:$V$440)/D13</f>
        <v>0.24750910206649687</v>
      </c>
      <c r="Q13" s="29">
        <f t="shared" si="4"/>
        <v>0.39634261917898717</v>
      </c>
      <c r="R13" s="70">
        <f t="shared" si="5"/>
        <v>0.41338781513941503</v>
      </c>
      <c r="S13" s="69">
        <f t="shared" si="6"/>
        <v>5</v>
      </c>
      <c r="T13" s="25">
        <f>COUNTIF('Data By District'!$AC$7:$AC$440,$B13&amp;"-"&amp;T$6)</f>
        <v>0</v>
      </c>
      <c r="U13" s="25">
        <f>COUNTIF('Data By District'!$AC$7:$AC$440,$B13&amp;"-"&amp;U$6)</f>
        <v>2</v>
      </c>
      <c r="V13" s="25">
        <f>COUNTIF('Data By District'!$AC$7:$AC$440,$B13&amp;"-"&amp;V$6)</f>
        <v>0</v>
      </c>
      <c r="W13" s="25">
        <f>COUNTIF('Data By District'!$AC$7:$AC$440,$B13&amp;"-"&amp;W$6)</f>
        <v>3</v>
      </c>
      <c r="X13" s="25">
        <f>COUNTIF('Data By District'!$AC$7:$AC$440,$B13&amp;"-"&amp;X$6)-(Y13)</f>
        <v>0</v>
      </c>
      <c r="Y13" s="25">
        <f>COUNTIF('Data By District'!$AA$7:$AA$440,$B13&amp;"-"&amp;"Yes")</f>
        <v>0</v>
      </c>
      <c r="Z13" s="348">
        <f t="shared" si="7"/>
        <v>0</v>
      </c>
      <c r="AA13" s="350">
        <f>COUNTIF('Data By District'!$M$7:$M$440, $B13&amp;"-"&amp;1)</f>
        <v>0</v>
      </c>
      <c r="AB13" s="331">
        <f>COUNTIFS('Data By District'!$K$7:$K$440,$B13&amp;"-"&amp;"Yes",'Data By District'!$AC$7:$AC$440,$B13&amp;"-"&amp;X$6)+COUNTIFS('Data By District'!$K$7:$K$440,$B13&amp;"-"&amp;"Yes",'Data By District'!$AC$7:$AC$440,$B13&amp;"-"&amp;W$6)</f>
        <v>3</v>
      </c>
      <c r="AC13" s="328">
        <f t="shared" si="32"/>
        <v>0.6</v>
      </c>
      <c r="AD13" s="332">
        <f>COUNTIF('Data By District'!$K$7:$K$440,$B13&amp;"-"&amp;"Yes")</f>
        <v>5</v>
      </c>
      <c r="AE13" s="332">
        <f t="shared" si="24"/>
        <v>0</v>
      </c>
      <c r="AF13" s="332">
        <f>COUNTIF('Data By District'!$J$7:$J$440,$B13&amp;"-"&amp;"Yes")</f>
        <v>5</v>
      </c>
      <c r="AG13" s="332">
        <f>COUNTIFS('Data By District'!$K$7:$K$440,$B13&amp;"-"&amp;"Yes",'Data By District'!$AB$7:$AB$440,$B13&amp;"-"&amp;"Dem")</f>
        <v>5</v>
      </c>
      <c r="AH13" s="332">
        <f>COUNTIFS('Data By District'!$K$7:$K$440,$B13&amp;"-"&amp;"Yes",'Data By District'!$AB$7:$AB$440,$B13&amp;"-"&amp;"Rep")</f>
        <v>0</v>
      </c>
      <c r="AI13" s="332">
        <f>COUNTIFS('Data By District'!$K$7:$K$440,$B13&amp;"-"&amp;"Yes",'Data By District'!$AB$7:$AB$440,$B13&amp;"-"&amp;"Dem",'Data By District'!$K$7:$K$440,$B13&amp;"-"&amp;"Yes",'Data By District'!$AC$7:$AC$440,$B13&amp;"-"&amp;W$6)+COUNTIFS('Data By District'!$K$7:$K$440,$B13&amp;"-"&amp;"Yes",'Data By District'!$AB$7:$AB$440,$B13&amp;"-"&amp;"Dem",'Data By District'!$K$7:$K$440,$B13&amp;"-"&amp;"Yes",'Data By District'!$AC$7:$AC$440,$B13&amp;"-"&amp;X$6)</f>
        <v>3</v>
      </c>
      <c r="AJ13" s="332">
        <f>COUNTIFS('Data By District'!$K$7:$K$440,$B13&amp;"-"&amp;"Yes",'Data By District'!$AB$7:$AB$440,$B13&amp;"-"&amp;"Rep",'Data By District'!$K$7:$K$440,$B13&amp;"-"&amp;"Yes",'Data By District'!$AC$7:$AC$440,$B13&amp;"-"&amp;W$6)+COUNTIFS('Data By District'!$K$7:$K$440,$B13&amp;"-"&amp;"Yes",'Data By District'!$AB$7:$AB$440,$B13&amp;"-"&amp;"Rep",'Data By District'!$K$7:$K$440,$B13&amp;"-"&amp;"Yes",'Data By District'!$AC$7:$AC$440,$B13&amp;"-"&amp;X$6)</f>
        <v>0</v>
      </c>
      <c r="AK13" s="331">
        <f>COUNTIF('Data By District'!$E$7:$E$440,$B13&amp;"-"&amp;"Yes")</f>
        <v>2</v>
      </c>
      <c r="AL13" s="332">
        <f>COUNTIF('Data By District'!$F$7:$F$440,$B13&amp;"-"&amp;"Yes")</f>
        <v>0</v>
      </c>
      <c r="AM13" s="332">
        <f>COUNTIF('Data By District'!$G$7:$G$440,$B13&amp;"-"&amp;"Yes")</f>
        <v>0</v>
      </c>
      <c r="AN13" s="332">
        <f>COUNTIF('Data By District'!$H$7:$H$440,$B13&amp;"-"&amp;"Yes")</f>
        <v>0</v>
      </c>
      <c r="AO13" s="332">
        <f>COUNTIF('Data By District'!$I$7:$I$440,$B13&amp;"-"&amp;"Yes")</f>
        <v>0</v>
      </c>
      <c r="AP13" s="70">
        <f t="shared" si="8"/>
        <v>2.2178588468455242E-2</v>
      </c>
      <c r="AQ13" s="55">
        <f t="shared" si="25"/>
        <v>0.57776614232041046</v>
      </c>
      <c r="AR13" s="50">
        <f t="shared" si="26"/>
        <v>1065708</v>
      </c>
      <c r="AS13" s="41">
        <f>SUMIF('Data By District'!$C$7:$C$440,$B13,'Data By District'!$O$7:$O$440)</f>
        <v>638075</v>
      </c>
      <c r="AT13" s="41">
        <f>SUMIF('Data By District'!$C$7:$C$440,$B13,'Data By District'!$Q$7:$Q$440)</f>
        <v>417138</v>
      </c>
      <c r="AU13" s="41">
        <f>SUMIF('Data By District'!$C$7:$C$440,$B13,'Data By District'!$S$7:$S$440)</f>
        <v>10495</v>
      </c>
      <c r="AV13" s="263">
        <f t="shared" si="9"/>
        <v>0.59873342416496822</v>
      </c>
      <c r="AW13" s="24">
        <f t="shared" si="10"/>
        <v>0.3914186625229425</v>
      </c>
      <c r="AX13" s="56">
        <f t="shared" si="11"/>
        <v>9.8479133120892397E-3</v>
      </c>
      <c r="AY13" s="25">
        <f>COUNTIF('Data By District'!$AB$7:$AB$440,$B13&amp;"-"&amp;AY$6)</f>
        <v>5</v>
      </c>
      <c r="AZ13" s="25">
        <f>COUNTIF('Data By District'!$AB$7:$AB$440,$B13&amp;"-"&amp;AZ$6)</f>
        <v>0</v>
      </c>
      <c r="BA13" s="25">
        <f>COUNTIF('Data By District'!$AB$7:$AB$440,$B13&amp;"-"&amp;BA$6)</f>
        <v>0</v>
      </c>
      <c r="BB13" s="259">
        <f t="shared" si="27"/>
        <v>1</v>
      </c>
      <c r="BC13" s="24">
        <f t="shared" si="28"/>
        <v>0</v>
      </c>
      <c r="BD13" s="56">
        <f t="shared" si="29"/>
        <v>0</v>
      </c>
      <c r="BE13" s="259">
        <f t="shared" si="12"/>
        <v>0.40126657583503178</v>
      </c>
      <c r="BF13" s="24">
        <f t="shared" si="13"/>
        <v>0.3914186625229425</v>
      </c>
      <c r="BG13" s="56">
        <f t="shared" si="14"/>
        <v>9.8479133120892397E-3</v>
      </c>
      <c r="BH13" s="50">
        <f t="shared" si="30"/>
        <v>615730</v>
      </c>
      <c r="BI13" s="41">
        <f>'Data By District'!AH91</f>
        <v>449978</v>
      </c>
      <c r="BJ13" s="41">
        <f>SUMIF('Data By District'!$C$7:$C$440,'Data By State'!$B13,'Data By District'!$AD$7:$AD$440)</f>
        <v>0</v>
      </c>
      <c r="BK13" s="41">
        <f>SUMIF('Data By District'!$C$7:$C$440,'Data By State'!$B13,'Data By District'!$AE$7:$AE$440)</f>
        <v>417138</v>
      </c>
      <c r="BL13" s="50">
        <f>SUMIF('Data By District'!$C$7:$C$440,'Data By State'!$B13,'Data By District'!$AF$7:$AF$440)</f>
        <v>10495</v>
      </c>
      <c r="BM13" s="64">
        <f t="shared" si="31"/>
        <v>0.42223385767958954</v>
      </c>
      <c r="BN13" s="24">
        <f t="shared" si="15"/>
        <v>0</v>
      </c>
      <c r="BO13" s="24">
        <f t="shared" si="16"/>
        <v>1</v>
      </c>
      <c r="BP13" s="56">
        <f t="shared" si="17"/>
        <v>1</v>
      </c>
    </row>
    <row r="14" spans="1:71" ht="16.5" thickBot="1">
      <c r="A14" s="17" t="s">
        <v>71</v>
      </c>
      <c r="B14" s="26" t="s">
        <v>7</v>
      </c>
      <c r="C14" s="437">
        <v>234038</v>
      </c>
      <c r="D14" s="437">
        <v>681226</v>
      </c>
      <c r="E14" s="25">
        <f t="shared" si="0"/>
        <v>43</v>
      </c>
      <c r="F14" s="25">
        <f t="shared" si="1"/>
        <v>48</v>
      </c>
      <c r="G14" s="73">
        <f t="shared" si="18"/>
        <v>13</v>
      </c>
      <c r="H14" s="25">
        <f t="shared" si="19"/>
        <v>41</v>
      </c>
      <c r="I14" s="25">
        <f t="shared" si="20"/>
        <v>39</v>
      </c>
      <c r="J14" s="25">
        <f t="shared" si="21"/>
        <v>44</v>
      </c>
      <c r="K14" s="68">
        <f t="shared" si="22"/>
        <v>35</v>
      </c>
      <c r="L14" s="67">
        <f t="shared" si="2"/>
        <v>35.200000000000003</v>
      </c>
      <c r="M14" s="64">
        <f t="shared" si="23"/>
        <v>0.3580943924430986</v>
      </c>
      <c r="N14" s="419">
        <f>AVERAGEIF('Data By District'!$C$7:$C$441,B14,'Data By District'!$Y$7:$Y$441)</f>
        <v>0.22496189830625557</v>
      </c>
      <c r="O14" s="29">
        <f t="shared" si="3"/>
        <v>1</v>
      </c>
      <c r="P14" s="29">
        <f>SUMIF('Data By District'!$C$7:$C$440,B14,'Data By District'!$V$7:$V$440)/D14</f>
        <v>0.20147645568431036</v>
      </c>
      <c r="Q14" s="29">
        <f t="shared" si="4"/>
        <v>0.38751905084687222</v>
      </c>
      <c r="R14" s="70">
        <f t="shared" si="5"/>
        <v>0.34000023487065967</v>
      </c>
      <c r="S14" s="69">
        <f t="shared" si="6"/>
        <v>1</v>
      </c>
      <c r="T14" s="25">
        <f>COUNTIF('Data By District'!$AC$7:$AC$440,$B14&amp;"-"&amp;T$6)</f>
        <v>0</v>
      </c>
      <c r="U14" s="25">
        <f>COUNTIF('Data By District'!$AC$7:$AC$440,$B14&amp;"-"&amp;U$6)</f>
        <v>0</v>
      </c>
      <c r="V14" s="25">
        <f>COUNTIF('Data By District'!$AC$7:$AC$440,$B14&amp;"-"&amp;V$6)</f>
        <v>0</v>
      </c>
      <c r="W14" s="25">
        <f>COUNTIF('Data By District'!$AC$7:$AC$440,$B14&amp;"-"&amp;W$6)</f>
        <v>1</v>
      </c>
      <c r="X14" s="25">
        <f>COUNTIF('Data By District'!$AC$7:$AC$440,$B14&amp;"-"&amp;X$6)-(Y14)</f>
        <v>0</v>
      </c>
      <c r="Y14" s="25">
        <f>COUNTIF('Data By District'!$AA$7:$AA$440,$B14&amp;"-"&amp;"Yes")</f>
        <v>0</v>
      </c>
      <c r="Z14" s="348">
        <f t="shared" si="7"/>
        <v>0</v>
      </c>
      <c r="AA14" s="350">
        <f>COUNTIF('Data By District'!$M$7:$M$440, $B14&amp;"-"&amp;1)</f>
        <v>0</v>
      </c>
      <c r="AB14" s="331">
        <f>COUNTIFS('Data By District'!$K$7:$K$440,$B14&amp;"-"&amp;"Yes",'Data By District'!$AC$7:$AC$440,$B14&amp;"-"&amp;X$6)+COUNTIFS('Data By District'!$K$7:$K$440,$B14&amp;"-"&amp;"Yes",'Data By District'!$AC$7:$AC$440,$B14&amp;"-"&amp;W$6)</f>
        <v>1</v>
      </c>
      <c r="AC14" s="328">
        <f t="shared" si="32"/>
        <v>1</v>
      </c>
      <c r="AD14" s="332">
        <f>COUNTIF('Data By District'!$K$7:$K$440,$B14&amp;"-"&amp;"Yes")</f>
        <v>1</v>
      </c>
      <c r="AE14" s="332">
        <f t="shared" si="24"/>
        <v>0</v>
      </c>
      <c r="AF14" s="332">
        <f>COUNTIF('Data By District'!$J$7:$J$440,$B14&amp;"-"&amp;"Yes")</f>
        <v>1</v>
      </c>
      <c r="AG14" s="332">
        <f>COUNTIFS('Data By District'!$K$7:$K$440,$B14&amp;"-"&amp;"Yes",'Data By District'!$AB$7:$AB$440,$B14&amp;"-"&amp;"Dem")</f>
        <v>1</v>
      </c>
      <c r="AH14" s="332">
        <f>COUNTIFS('Data By District'!$K$7:$K$440,$B14&amp;"-"&amp;"Yes",'Data By District'!$AB$7:$AB$440,$B14&amp;"-"&amp;"Rep")</f>
        <v>0</v>
      </c>
      <c r="AI14" s="332">
        <f>COUNTIFS('Data By District'!$K$7:$K$440,$B14&amp;"-"&amp;"Yes",'Data By District'!$AB$7:$AB$440,$B14&amp;"-"&amp;"Dem",'Data By District'!$K$7:$K$440,$B14&amp;"-"&amp;"Yes",'Data By District'!$AC$7:$AC$440,$B14&amp;"-"&amp;W$6)+COUNTIFS('Data By District'!$K$7:$K$440,$B14&amp;"-"&amp;"Yes",'Data By District'!$AB$7:$AB$440,$B14&amp;"-"&amp;"Dem",'Data By District'!$K$7:$K$440,$B14&amp;"-"&amp;"Yes",'Data By District'!$AC$7:$AC$440,$B14&amp;"-"&amp;X$6)</f>
        <v>1</v>
      </c>
      <c r="AJ14" s="332">
        <f>COUNTIFS('Data By District'!$K$7:$K$440,$B14&amp;"-"&amp;"Yes",'Data By District'!$AB$7:$AB$440,$B14&amp;"-"&amp;"Rep",'Data By District'!$K$7:$K$440,$B14&amp;"-"&amp;"Yes",'Data By District'!$AC$7:$AC$440,$B14&amp;"-"&amp;W$6)+COUNTIFS('Data By District'!$K$7:$K$440,$B14&amp;"-"&amp;"Yes",'Data By District'!$AB$7:$AB$440,$B14&amp;"-"&amp;"Rep",'Data By District'!$K$7:$K$440,$B14&amp;"-"&amp;"Yes",'Data By District'!$AC$7:$AC$440,$B14&amp;"-"&amp;X$6)</f>
        <v>0</v>
      </c>
      <c r="AK14" s="331">
        <f>COUNTIF('Data By District'!$E$7:$E$440,$B14&amp;"-"&amp;"Yes")</f>
        <v>0</v>
      </c>
      <c r="AL14" s="332">
        <f>COUNTIF('Data By District'!$F$7:$F$440,$B14&amp;"-"&amp;"Yes")</f>
        <v>0</v>
      </c>
      <c r="AM14" s="332">
        <f>COUNTIF('Data By District'!$G$7:$G$440,$B14&amp;"-"&amp;"Yes")</f>
        <v>0</v>
      </c>
      <c r="AN14" s="332">
        <f>COUNTIF('Data By District'!$H$7:$H$440,$B14&amp;"-"&amp;"Yes")</f>
        <v>0</v>
      </c>
      <c r="AO14" s="332">
        <f>COUNTIF('Data By District'!$I$7:$I$440,$B14&amp;"-"&amp;"Yes")</f>
        <v>0</v>
      </c>
      <c r="AP14" s="70">
        <f t="shared" si="8"/>
        <v>1.0344473974311864E-2</v>
      </c>
      <c r="AQ14" s="55">
        <f t="shared" si="25"/>
        <v>0.57441379518774527</v>
      </c>
      <c r="AR14" s="50">
        <f t="shared" si="26"/>
        <v>231617</v>
      </c>
      <c r="AS14" s="41">
        <f>SUMIF('Data By District'!$C$7:$C$440,$B14,'Data By District'!$O$7:$O$440)</f>
        <v>137251</v>
      </c>
      <c r="AT14" s="41">
        <f>SUMIF('Data By District'!$C$7:$C$440,$B14,'Data By District'!$Q$7:$Q$440)</f>
        <v>85146</v>
      </c>
      <c r="AU14" s="41">
        <f>SUMIF('Data By District'!$C$7:$C$440,$B14,'Data By District'!$S$7:$S$440)</f>
        <v>9220</v>
      </c>
      <c r="AV14" s="263">
        <f t="shared" si="9"/>
        <v>0.59257740148607396</v>
      </c>
      <c r="AW14" s="24">
        <f t="shared" si="10"/>
        <v>0.36761550317981839</v>
      </c>
      <c r="AX14" s="56">
        <f t="shared" si="11"/>
        <v>3.9807095334107603E-2</v>
      </c>
      <c r="AY14" s="25">
        <f>COUNTIF('Data By District'!$AB$7:$AB$440,$B14&amp;"-"&amp;AY$6)</f>
        <v>1</v>
      </c>
      <c r="AZ14" s="25">
        <f>COUNTIF('Data By District'!$AB$7:$AB$440,$B14&amp;"-"&amp;AZ$6)</f>
        <v>0</v>
      </c>
      <c r="BA14" s="25">
        <f>COUNTIF('Data By District'!$AB$7:$AB$440,$B14&amp;"-"&amp;BA$6)</f>
        <v>0</v>
      </c>
      <c r="BB14" s="259">
        <f t="shared" si="27"/>
        <v>1</v>
      </c>
      <c r="BC14" s="24">
        <f t="shared" si="28"/>
        <v>0</v>
      </c>
      <c r="BD14" s="56">
        <f t="shared" si="29"/>
        <v>0</v>
      </c>
      <c r="BE14" s="259">
        <f t="shared" si="12"/>
        <v>0.40742259851392604</v>
      </c>
      <c r="BF14" s="24">
        <f t="shared" si="13"/>
        <v>0.36761550317981839</v>
      </c>
      <c r="BG14" s="56">
        <f t="shared" si="14"/>
        <v>3.9807095334107603E-2</v>
      </c>
      <c r="BH14" s="50">
        <f t="shared" si="30"/>
        <v>133044</v>
      </c>
      <c r="BI14" s="41">
        <f>'Data By District'!AH92</f>
        <v>98573</v>
      </c>
      <c r="BJ14" s="41">
        <f>SUMIF('Data By District'!$C$7:$C$440,'Data By State'!$B14,'Data By District'!$AD$7:$AD$440)</f>
        <v>0</v>
      </c>
      <c r="BK14" s="41">
        <f>SUMIF('Data By District'!$C$7:$C$440,'Data By State'!$B14,'Data By District'!$AE$7:$AE$440)</f>
        <v>85146</v>
      </c>
      <c r="BL14" s="50">
        <f>SUMIF('Data By District'!$C$7:$C$440,'Data By State'!$B14,'Data By District'!$AF$7:$AF$440)</f>
        <v>9220</v>
      </c>
      <c r="BM14" s="64">
        <f t="shared" si="31"/>
        <v>0.42558620481225473</v>
      </c>
      <c r="BN14" s="24">
        <f t="shared" si="15"/>
        <v>0</v>
      </c>
      <c r="BO14" s="24">
        <f t="shared" si="16"/>
        <v>1</v>
      </c>
      <c r="BP14" s="56">
        <f t="shared" si="17"/>
        <v>1</v>
      </c>
    </row>
    <row r="15" spans="1:71" ht="16.5" thickBot="1">
      <c r="A15" s="17" t="s">
        <v>72</v>
      </c>
      <c r="B15" s="26" t="s">
        <v>8</v>
      </c>
      <c r="C15" s="437">
        <v>5951561</v>
      </c>
      <c r="D15" s="437">
        <v>13930703</v>
      </c>
      <c r="E15" s="25">
        <f t="shared" si="0"/>
        <v>31</v>
      </c>
      <c r="F15" s="25">
        <f t="shared" si="1"/>
        <v>29</v>
      </c>
      <c r="G15" s="73">
        <f t="shared" si="18"/>
        <v>41</v>
      </c>
      <c r="H15" s="25">
        <f t="shared" si="19"/>
        <v>34</v>
      </c>
      <c r="I15" s="25">
        <f t="shared" si="20"/>
        <v>30</v>
      </c>
      <c r="J15" s="25">
        <f t="shared" si="21"/>
        <v>9</v>
      </c>
      <c r="K15" s="68">
        <f t="shared" si="22"/>
        <v>28</v>
      </c>
      <c r="L15" s="67">
        <f t="shared" si="2"/>
        <v>28.8</v>
      </c>
      <c r="M15" s="64">
        <f t="shared" si="23"/>
        <v>0.42924547328094143</v>
      </c>
      <c r="N15" s="419">
        <f>AVERAGEIF('Data By District'!$C$7:$C$441,B15,'Data By District'!$Y$7:$Y$441)</f>
        <v>0.43870342661901462</v>
      </c>
      <c r="O15" s="29">
        <f t="shared" si="3"/>
        <v>0.81481481481481477</v>
      </c>
      <c r="P15" s="29">
        <f>SUMIF('Data By District'!$C$7:$C$440,B15,'Data By District'!$V$7:$V$440)/D15</f>
        <v>0.23553786194422494</v>
      </c>
      <c r="Q15" s="29">
        <f t="shared" si="4"/>
        <v>7.1330116049913267E-2</v>
      </c>
      <c r="R15" s="70">
        <f t="shared" si="5"/>
        <v>0.35881591905304422</v>
      </c>
      <c r="S15" s="69">
        <f t="shared" si="6"/>
        <v>27</v>
      </c>
      <c r="T15" s="25">
        <f>COUNTIF('Data By District'!$AC$7:$AC$440,$B15&amp;"-"&amp;T$6)</f>
        <v>2</v>
      </c>
      <c r="U15" s="25">
        <f>COUNTIF('Data By District'!$AC$7:$AC$440,$B15&amp;"-"&amp;U$6)</f>
        <v>0</v>
      </c>
      <c r="V15" s="25">
        <f>COUNTIF('Data By District'!$AC$7:$AC$440,$B15&amp;"-"&amp;V$6)</f>
        <v>3</v>
      </c>
      <c r="W15" s="25">
        <f>COUNTIF('Data By District'!$AC$7:$AC$440,$B15&amp;"-"&amp;W$6)</f>
        <v>12</v>
      </c>
      <c r="X15" s="25">
        <f>COUNTIF('Data By District'!$AC$7:$AC$440,$B15&amp;"-"&amp;X$6)-(Y15)</f>
        <v>3</v>
      </c>
      <c r="Y15" s="25">
        <f>COUNTIF('Data By District'!$AA$7:$AA$440,$B15&amp;"-"&amp;"Yes")</f>
        <v>7</v>
      </c>
      <c r="Z15" s="348">
        <f t="shared" si="7"/>
        <v>0.25925925925925924</v>
      </c>
      <c r="AA15" s="350">
        <f>COUNTIF('Data By District'!$M$7:$M$440, $B15&amp;"-"&amp;1)</f>
        <v>0</v>
      </c>
      <c r="AB15" s="331">
        <f>COUNTIFS('Data By District'!$K$7:$K$440,$B15&amp;"-"&amp;"Yes",'Data By District'!$AC$7:$AC$440,$B15&amp;"-"&amp;X$6)+COUNTIFS('Data By District'!$K$7:$K$440,$B15&amp;"-"&amp;"Yes",'Data By District'!$AC$7:$AC$440,$B15&amp;"-"&amp;W$6)</f>
        <v>22</v>
      </c>
      <c r="AC15" s="328">
        <f t="shared" si="32"/>
        <v>0.88</v>
      </c>
      <c r="AD15" s="332">
        <f>COUNTIF('Data By District'!$K$7:$K$440,$B15&amp;"-"&amp;"Yes")</f>
        <v>25</v>
      </c>
      <c r="AE15" s="332">
        <f t="shared" si="24"/>
        <v>2</v>
      </c>
      <c r="AF15" s="332">
        <f>COUNTIF('Data By District'!$J$7:$J$440,$B15&amp;"-"&amp;"Yes")</f>
        <v>27</v>
      </c>
      <c r="AG15" s="332">
        <f>COUNTIFS('Data By District'!$K$7:$K$440,$B15&amp;"-"&amp;"Yes",'Data By District'!$AB$7:$AB$440,$B15&amp;"-"&amp;"Dem")</f>
        <v>9</v>
      </c>
      <c r="AH15" s="332">
        <f>COUNTIFS('Data By District'!$K$7:$K$440,$B15&amp;"-"&amp;"Yes",'Data By District'!$AB$7:$AB$440,$B15&amp;"-"&amp;"Rep")</f>
        <v>16</v>
      </c>
      <c r="AI15" s="332">
        <f>COUNTIFS('Data By District'!$K$7:$K$440,$B15&amp;"-"&amp;"Yes",'Data By District'!$AB$7:$AB$440,$B15&amp;"-"&amp;"Dem",'Data By District'!$K$7:$K$440,$B15&amp;"-"&amp;"Yes",'Data By District'!$AC$7:$AC$440,$B15&amp;"-"&amp;W$6)+COUNTIFS('Data By District'!$K$7:$K$440,$B15&amp;"-"&amp;"Yes",'Data By District'!$AB$7:$AB$440,$B15&amp;"-"&amp;"Dem",'Data By District'!$K$7:$K$440,$B15&amp;"-"&amp;"Yes",'Data By District'!$AC$7:$AC$440,$B15&amp;"-"&amp;X$6)</f>
        <v>6</v>
      </c>
      <c r="AJ15" s="332">
        <f>COUNTIFS('Data By District'!$K$7:$K$440,$B15&amp;"-"&amp;"Yes",'Data By District'!$AB$7:$AB$440,$B15&amp;"-"&amp;"Rep",'Data By District'!$K$7:$K$440,$B15&amp;"-"&amp;"Yes",'Data By District'!$AC$7:$AC$440,$B15&amp;"-"&amp;W$6)+COUNTIFS('Data By District'!$K$7:$K$440,$B15&amp;"-"&amp;"Yes",'Data By District'!$AB$7:$AB$440,$B15&amp;"-"&amp;"Rep",'Data By District'!$K$7:$K$440,$B15&amp;"-"&amp;"Yes",'Data By District'!$AC$7:$AC$440,$B15&amp;"-"&amp;X$6)</f>
        <v>16</v>
      </c>
      <c r="AK15" s="331">
        <f>COUNTIF('Data By District'!$E$7:$E$440,$B15&amp;"-"&amp;"Yes")</f>
        <v>7</v>
      </c>
      <c r="AL15" s="332">
        <f>COUNTIF('Data By District'!$F$7:$F$440,$B15&amp;"-"&amp;"Yes")</f>
        <v>3</v>
      </c>
      <c r="AM15" s="332">
        <f>COUNTIF('Data By District'!$G$7:$G$440,$B15&amp;"-"&amp;"Yes")</f>
        <v>4</v>
      </c>
      <c r="AN15" s="332">
        <f>COUNTIF('Data By District'!$H$7:$H$440,$B15&amp;"-"&amp;"Yes")</f>
        <v>0</v>
      </c>
      <c r="AO15" s="332">
        <f>COUNTIF('Data By District'!$I$7:$I$440,$B15&amp;"-"&amp;"Yes")</f>
        <v>0</v>
      </c>
      <c r="AP15" s="70">
        <f t="shared" si="8"/>
        <v>0.16012656175413476</v>
      </c>
      <c r="AQ15" s="55">
        <f t="shared" si="25"/>
        <v>0.65321798806775877</v>
      </c>
      <c r="AR15" s="50">
        <f t="shared" si="26"/>
        <v>4998558</v>
      </c>
      <c r="AS15" s="41">
        <f>SUMIF('Data By District'!$C$7:$C$440,$B15,'Data By District'!$O$7:$O$440)</f>
        <v>2130627</v>
      </c>
      <c r="AT15" s="41">
        <f>SUMIF('Data By District'!$C$7:$C$440,$B15,'Data By District'!$Q$7:$Q$440)</f>
        <v>2713454</v>
      </c>
      <c r="AU15" s="41">
        <f>SUMIF('Data By District'!$C$7:$C$440,$B15,'Data By District'!$S$7:$S$440)</f>
        <v>154477</v>
      </c>
      <c r="AV15" s="263">
        <f t="shared" si="9"/>
        <v>0.42624833001837731</v>
      </c>
      <c r="AW15" s="24">
        <f t="shared" si="10"/>
        <v>0.54284735717781007</v>
      </c>
      <c r="AX15" s="56">
        <f t="shared" si="11"/>
        <v>3.090431280381262E-2</v>
      </c>
      <c r="AY15" s="25">
        <f>COUNTIF('Data By District'!$AB$7:$AB$440,$B15&amp;"-"&amp;AY$6)</f>
        <v>10</v>
      </c>
      <c r="AZ15" s="25">
        <f>COUNTIF('Data By District'!$AB$7:$AB$440,$B15&amp;"-"&amp;AZ$6)</f>
        <v>17</v>
      </c>
      <c r="BA15" s="25">
        <f>COUNTIF('Data By District'!$AB$7:$AB$440,$B15&amp;"-"&amp;BA$6)</f>
        <v>0</v>
      </c>
      <c r="BB15" s="259">
        <f t="shared" si="27"/>
        <v>0.37037037037037035</v>
      </c>
      <c r="BC15" s="24">
        <f t="shared" si="28"/>
        <v>0.62962962962962965</v>
      </c>
      <c r="BD15" s="56">
        <f t="shared" si="29"/>
        <v>0</v>
      </c>
      <c r="BE15" s="259">
        <f t="shared" si="12"/>
        <v>5.5877959648006958E-2</v>
      </c>
      <c r="BF15" s="24">
        <f t="shared" si="13"/>
        <v>8.6782272451819575E-2</v>
      </c>
      <c r="BG15" s="56">
        <f t="shared" si="14"/>
        <v>3.090431280381262E-2</v>
      </c>
      <c r="BH15" s="50">
        <f t="shared" si="30"/>
        <v>3265148</v>
      </c>
      <c r="BI15" s="41">
        <f>'Data By District'!AH117</f>
        <v>1733410</v>
      </c>
      <c r="BJ15" s="41">
        <f>SUMIF('Data By District'!$C$7:$C$440,'Data By State'!$B15,'Data By District'!$AD$7:$AD$440)</f>
        <v>1007104</v>
      </c>
      <c r="BK15" s="41">
        <f>SUMIF('Data By District'!$C$7:$C$440,'Data By State'!$B15,'Data By District'!$AE$7:$AE$440)</f>
        <v>555769</v>
      </c>
      <c r="BL15" s="50">
        <f>SUMIF('Data By District'!$C$7:$C$440,'Data By State'!$B15,'Data By District'!$AF$7:$AF$440)</f>
        <v>154477</v>
      </c>
      <c r="BM15" s="64">
        <f t="shared" si="31"/>
        <v>0.34678201193224129</v>
      </c>
      <c r="BN15" s="24">
        <f t="shared" si="15"/>
        <v>0.47267963843507099</v>
      </c>
      <c r="BO15" s="24">
        <f t="shared" si="16"/>
        <v>0.20481976108679195</v>
      </c>
      <c r="BP15" s="56">
        <f t="shared" si="17"/>
        <v>1</v>
      </c>
    </row>
    <row r="16" spans="1:71" ht="16.5" thickBot="1">
      <c r="A16" s="17" t="s">
        <v>73</v>
      </c>
      <c r="B16" s="26" t="s">
        <v>9</v>
      </c>
      <c r="C16" s="437">
        <v>2567761</v>
      </c>
      <c r="D16" s="437">
        <v>6739922</v>
      </c>
      <c r="E16" s="25">
        <f t="shared" si="0"/>
        <v>20</v>
      </c>
      <c r="F16" s="25">
        <f t="shared" si="1"/>
        <v>40</v>
      </c>
      <c r="G16" s="73">
        <f t="shared" si="18"/>
        <v>49</v>
      </c>
      <c r="H16" s="25">
        <f t="shared" si="19"/>
        <v>36</v>
      </c>
      <c r="I16" s="25">
        <f t="shared" si="20"/>
        <v>10</v>
      </c>
      <c r="J16" s="25">
        <f t="shared" si="21"/>
        <v>14</v>
      </c>
      <c r="K16" s="68">
        <f t="shared" si="22"/>
        <v>34</v>
      </c>
      <c r="L16" s="67">
        <f t="shared" si="2"/>
        <v>23.8</v>
      </c>
      <c r="M16" s="64">
        <f t="shared" si="23"/>
        <v>0.38416622954780488</v>
      </c>
      <c r="N16" s="419">
        <f>AVERAGEIF('Data By District'!$C$7:$C$441,B16,'Data By District'!$Y$7:$Y$441)</f>
        <v>0.64777991131868518</v>
      </c>
      <c r="O16" s="29">
        <f t="shared" si="3"/>
        <v>0.8571428571428571</v>
      </c>
      <c r="P16" s="29">
        <f>SUMIF('Data By District'!$C$7:$C$440,B16,'Data By District'!$V$7:$V$440)/D16</f>
        <v>0.27743407119548269</v>
      </c>
      <c r="Q16" s="29">
        <f t="shared" si="4"/>
        <v>0.12911422619039872</v>
      </c>
      <c r="R16" s="70">
        <f t="shared" si="5"/>
        <v>0.34205692588133807</v>
      </c>
      <c r="S16" s="69">
        <f t="shared" si="6"/>
        <v>14</v>
      </c>
      <c r="T16" s="25">
        <f>COUNTIF('Data By District'!$AC$7:$AC$440,$B16&amp;"-"&amp;T$6)</f>
        <v>0</v>
      </c>
      <c r="U16" s="25">
        <f>COUNTIF('Data By District'!$AC$7:$AC$440,$B16&amp;"-"&amp;U$6)</f>
        <v>1</v>
      </c>
      <c r="V16" s="25">
        <f>COUNTIF('Data By District'!$AC$7:$AC$440,$B16&amp;"-"&amp;V$6)</f>
        <v>1</v>
      </c>
      <c r="W16" s="25">
        <f>COUNTIF('Data By District'!$AC$7:$AC$440,$B16&amp;"-"&amp;W$6)</f>
        <v>4</v>
      </c>
      <c r="X16" s="25">
        <f>COUNTIF('Data By District'!$AC$7:$AC$440,$B16&amp;"-"&amp;X$6)-(Y16)</f>
        <v>1</v>
      </c>
      <c r="Y16" s="25">
        <f>COUNTIF('Data By District'!$AA$7:$AA$440,$B16&amp;"-"&amp;"Yes")</f>
        <v>7</v>
      </c>
      <c r="Z16" s="348">
        <f t="shared" si="7"/>
        <v>0.5</v>
      </c>
      <c r="AA16" s="350">
        <f>COUNTIF('Data By District'!$M$7:$M$440, $B16&amp;"-"&amp;1)</f>
        <v>0</v>
      </c>
      <c r="AB16" s="331">
        <f>COUNTIFS('Data By District'!$K$7:$K$440,$B16&amp;"-"&amp;"Yes",'Data By District'!$AC$7:$AC$440,$B16&amp;"-"&amp;X$6)+COUNTIFS('Data By District'!$K$7:$K$440,$B16&amp;"-"&amp;"Yes",'Data By District'!$AC$7:$AC$440,$B16&amp;"-"&amp;W$6)</f>
        <v>9</v>
      </c>
      <c r="AC16" s="328">
        <f t="shared" si="32"/>
        <v>0.9</v>
      </c>
      <c r="AD16" s="332">
        <f>COUNTIF('Data By District'!$K$7:$K$440,$B16&amp;"-"&amp;"Yes")</f>
        <v>10</v>
      </c>
      <c r="AE16" s="332">
        <f t="shared" si="24"/>
        <v>1</v>
      </c>
      <c r="AF16" s="332">
        <f>COUNTIF('Data By District'!$J$7:$J$440,$B16&amp;"-"&amp;"Yes")</f>
        <v>11</v>
      </c>
      <c r="AG16" s="332">
        <f>COUNTIFS('Data By District'!$K$7:$K$440,$B16&amp;"-"&amp;"Yes",'Data By District'!$AB$7:$AB$440,$B16&amp;"-"&amp;"Dem")</f>
        <v>4</v>
      </c>
      <c r="AH16" s="332">
        <f>COUNTIFS('Data By District'!$K$7:$K$440,$B16&amp;"-"&amp;"Yes",'Data By District'!$AB$7:$AB$440,$B16&amp;"-"&amp;"Rep")</f>
        <v>6</v>
      </c>
      <c r="AI16" s="332">
        <f>COUNTIFS('Data By District'!$K$7:$K$440,$B16&amp;"-"&amp;"Yes",'Data By District'!$AB$7:$AB$440,$B16&amp;"-"&amp;"Dem",'Data By District'!$K$7:$K$440,$B16&amp;"-"&amp;"Yes",'Data By District'!$AC$7:$AC$440,$B16&amp;"-"&amp;W$6)+COUNTIFS('Data By District'!$K$7:$K$440,$B16&amp;"-"&amp;"Yes",'Data By District'!$AB$7:$AB$440,$B16&amp;"-"&amp;"Dem",'Data By District'!$K$7:$K$440,$B16&amp;"-"&amp;"Yes",'Data By District'!$AC$7:$AC$440,$B16&amp;"-"&amp;X$6)</f>
        <v>3</v>
      </c>
      <c r="AJ16" s="332">
        <f>COUNTIFS('Data By District'!$K$7:$K$440,$B16&amp;"-"&amp;"Yes",'Data By District'!$AB$7:$AB$440,$B16&amp;"-"&amp;"Rep",'Data By District'!$K$7:$K$440,$B16&amp;"-"&amp;"Yes",'Data By District'!$AC$7:$AC$440,$B16&amp;"-"&amp;W$6)+COUNTIFS('Data By District'!$K$7:$K$440,$B16&amp;"-"&amp;"Yes",'Data By District'!$AB$7:$AB$440,$B16&amp;"-"&amp;"Rep",'Data By District'!$K$7:$K$440,$B16&amp;"-"&amp;"Yes",'Data By District'!$AC$7:$AC$440,$B16&amp;"-"&amp;X$6)</f>
        <v>6</v>
      </c>
      <c r="AK16" s="331">
        <f>COUNTIF('Data By District'!$E$7:$E$440,$B16&amp;"-"&amp;"Yes")</f>
        <v>0</v>
      </c>
      <c r="AL16" s="332">
        <f>COUNTIF('Data By District'!$F$7:$F$440,$B16&amp;"-"&amp;"Yes")</f>
        <v>4</v>
      </c>
      <c r="AM16" s="332">
        <f>COUNTIF('Data By District'!$G$7:$G$440,$B16&amp;"-"&amp;"Yes")</f>
        <v>0</v>
      </c>
      <c r="AN16" s="332">
        <f>COUNTIF('Data By District'!$H$7:$H$440,$B16&amp;"-"&amp;"Yes")</f>
        <v>0</v>
      </c>
      <c r="AO16" s="332">
        <f>COUNTIF('Data By District'!$I$7:$I$440,$B16&amp;"-"&amp;"Yes")</f>
        <v>0</v>
      </c>
      <c r="AP16" s="70">
        <f t="shared" si="8"/>
        <v>0.10216059827998011</v>
      </c>
      <c r="AQ16" s="55">
        <f t="shared" si="25"/>
        <v>0.80984906549170499</v>
      </c>
      <c r="AR16" s="50">
        <f t="shared" si="26"/>
        <v>2305437</v>
      </c>
      <c r="AS16" s="41">
        <f>SUMIF('Data By District'!$C$7:$C$440,$B16,'Data By District'!$O$7:$O$440)</f>
        <v>956361</v>
      </c>
      <c r="AT16" s="41">
        <f>SUMIF('Data By District'!$C$7:$C$440,$B16,'Data By District'!$Q$7:$Q$440)</f>
        <v>1349076</v>
      </c>
      <c r="AU16" s="41">
        <f>SUMIF('Data By District'!$C$7:$C$440,$B16,'Data By District'!$S$7:$S$440)</f>
        <v>0</v>
      </c>
      <c r="AV16" s="263">
        <f t="shared" si="9"/>
        <v>0.41482851190468445</v>
      </c>
      <c r="AW16" s="24">
        <f t="shared" si="10"/>
        <v>0.58517148809531561</v>
      </c>
      <c r="AX16" s="56">
        <f t="shared" si="11"/>
        <v>0</v>
      </c>
      <c r="AY16" s="25">
        <f>COUNTIF('Data By District'!$AB$7:$AB$440,$B16&amp;"-"&amp;AY$6)</f>
        <v>4</v>
      </c>
      <c r="AZ16" s="25">
        <f>COUNTIF('Data By District'!$AB$7:$AB$440,$B16&amp;"-"&amp;AZ$6)</f>
        <v>10</v>
      </c>
      <c r="BA16" s="25">
        <f>COUNTIF('Data By District'!$AB$7:$AB$440,$B16&amp;"-"&amp;BA$6)</f>
        <v>0</v>
      </c>
      <c r="BB16" s="259">
        <f t="shared" si="27"/>
        <v>0.2857142857142857</v>
      </c>
      <c r="BC16" s="24">
        <f t="shared" si="28"/>
        <v>0.7142857142857143</v>
      </c>
      <c r="BD16" s="56">
        <f t="shared" si="29"/>
        <v>0</v>
      </c>
      <c r="BE16" s="259">
        <f t="shared" si="12"/>
        <v>0.12911422619039875</v>
      </c>
      <c r="BF16" s="24">
        <f t="shared" si="13"/>
        <v>0.1291142261903987</v>
      </c>
      <c r="BG16" s="56">
        <f t="shared" si="14"/>
        <v>0</v>
      </c>
      <c r="BH16" s="50">
        <f t="shared" si="30"/>
        <v>1867056</v>
      </c>
      <c r="BI16" s="41">
        <f>'Data By District'!AH130</f>
        <v>438381</v>
      </c>
      <c r="BJ16" s="41">
        <f>SUMIF('Data By District'!$C$7:$C$440,'Data By State'!$B16,'Data By District'!$AD$7:$AD$440)</f>
        <v>369016</v>
      </c>
      <c r="BK16" s="41">
        <f>SUMIF('Data By District'!$C$7:$C$440,'Data By State'!$B16,'Data By District'!$AE$7:$AE$440)</f>
        <v>66537</v>
      </c>
      <c r="BL16" s="50">
        <f>SUMIF('Data By District'!$C$7:$C$440,'Data By State'!$B16,'Data By District'!$AF$7:$AF$440)</f>
        <v>0</v>
      </c>
      <c r="BM16" s="64">
        <f t="shared" si="31"/>
        <v>0.19015093450829496</v>
      </c>
      <c r="BN16" s="24">
        <f t="shared" ref="BN16:BN57" si="33">BJ16/AS16</f>
        <v>0.38585429560594797</v>
      </c>
      <c r="BO16" s="24">
        <f t="shared" ref="BO16:BO57" si="34">BK16/AT16</f>
        <v>4.932042375670459E-2</v>
      </c>
      <c r="BP16" s="56">
        <v>0</v>
      </c>
    </row>
    <row r="17" spans="1:68" ht="16.5" thickBot="1">
      <c r="A17" s="17" t="s">
        <v>74</v>
      </c>
      <c r="B17" s="26" t="s">
        <v>10</v>
      </c>
      <c r="C17" s="437">
        <v>366125</v>
      </c>
      <c r="D17" s="437">
        <v>1012635</v>
      </c>
      <c r="E17" s="25">
        <f t="shared" si="0"/>
        <v>30</v>
      </c>
      <c r="F17" s="25">
        <f t="shared" si="1"/>
        <v>22</v>
      </c>
      <c r="G17" s="73">
        <f t="shared" si="18"/>
        <v>29</v>
      </c>
      <c r="H17" s="25">
        <f t="shared" si="19"/>
        <v>9</v>
      </c>
      <c r="I17" s="25">
        <f t="shared" si="20"/>
        <v>33</v>
      </c>
      <c r="J17" s="25">
        <f t="shared" si="21"/>
        <v>39</v>
      </c>
      <c r="K17" s="68">
        <f t="shared" si="22"/>
        <v>31</v>
      </c>
      <c r="L17" s="67">
        <f t="shared" si="2"/>
        <v>28.6</v>
      </c>
      <c r="M17" s="64">
        <f t="shared" si="23"/>
        <v>0.46104501159908651</v>
      </c>
      <c r="N17" s="419">
        <f>AVERAGEIF('Data By District'!$C$7:$C$441,B17,'Data By District'!$Y$7:$Y$441)</f>
        <v>0.31978301016617028</v>
      </c>
      <c r="O17" s="29">
        <f t="shared" si="3"/>
        <v>0.5</v>
      </c>
      <c r="P17" s="29">
        <f>SUMIF('Data By District'!$C$7:$C$440,B17,'Data By District'!$V$7:$V$440)/D17</f>
        <v>0.23246283211621166</v>
      </c>
      <c r="Q17" s="29">
        <f t="shared" si="4"/>
        <v>0.33991759607082073</v>
      </c>
      <c r="R17" s="70">
        <f t="shared" si="5"/>
        <v>0.35568294597757338</v>
      </c>
      <c r="S17" s="69">
        <f t="shared" si="6"/>
        <v>2</v>
      </c>
      <c r="T17" s="25">
        <f>COUNTIF('Data By District'!$AC$7:$AC$440,$B17&amp;"-"&amp;T$6)</f>
        <v>1</v>
      </c>
      <c r="U17" s="25">
        <f>COUNTIF('Data By District'!$AC$7:$AC$440,$B17&amp;"-"&amp;U$6)</f>
        <v>0</v>
      </c>
      <c r="V17" s="25">
        <f>COUNTIF('Data By District'!$AC$7:$AC$440,$B17&amp;"-"&amp;V$6)</f>
        <v>0</v>
      </c>
      <c r="W17" s="25">
        <f>COUNTIF('Data By District'!$AC$7:$AC$440,$B17&amp;"-"&amp;W$6)</f>
        <v>0</v>
      </c>
      <c r="X17" s="25">
        <f>COUNTIF('Data By District'!$AC$7:$AC$440,$B17&amp;"-"&amp;X$6)-(Y17)</f>
        <v>1</v>
      </c>
      <c r="Y17" s="25">
        <f>COUNTIF('Data By District'!$AA$7:$AA$440,$B17&amp;"-"&amp;"Yes")</f>
        <v>0</v>
      </c>
      <c r="Z17" s="348">
        <f t="shared" si="7"/>
        <v>0</v>
      </c>
      <c r="AA17" s="350">
        <f>COUNTIF('Data By District'!$M$7:$M$440, $B17&amp;"-"&amp;1)</f>
        <v>0</v>
      </c>
      <c r="AB17" s="331">
        <f>COUNTIFS('Data By District'!$K$7:$K$440,$B17&amp;"-"&amp;"Yes",'Data By District'!$AC$7:$AC$440,$B17&amp;"-"&amp;X$6)+COUNTIFS('Data By District'!$K$7:$K$440,$B17&amp;"-"&amp;"Yes",'Data By District'!$AC$7:$AC$440,$B17&amp;"-"&amp;W$6)</f>
        <v>1</v>
      </c>
      <c r="AC17" s="328">
        <f t="shared" si="32"/>
        <v>1</v>
      </c>
      <c r="AD17" s="332">
        <f>COUNTIF('Data By District'!$K$7:$K$440,$B17&amp;"-"&amp;"Yes")</f>
        <v>1</v>
      </c>
      <c r="AE17" s="332">
        <f t="shared" si="24"/>
        <v>0</v>
      </c>
      <c r="AF17" s="332">
        <f>COUNTIF('Data By District'!$J$7:$J$440,$B17&amp;"-"&amp;"Yes")</f>
        <v>1</v>
      </c>
      <c r="AG17" s="332">
        <f>COUNTIFS('Data By District'!$K$7:$K$440,$B17&amp;"-"&amp;"Yes",'Data By District'!$AB$7:$AB$440,$B17&amp;"-"&amp;"Dem")</f>
        <v>1</v>
      </c>
      <c r="AH17" s="332">
        <f>COUNTIFS('Data By District'!$K$7:$K$440,$B17&amp;"-"&amp;"Yes",'Data By District'!$AB$7:$AB$440,$B17&amp;"-"&amp;"Rep")</f>
        <v>0</v>
      </c>
      <c r="AI17" s="332">
        <f>COUNTIFS('Data By District'!$K$7:$K$440,$B17&amp;"-"&amp;"Yes",'Data By District'!$AB$7:$AB$440,$B17&amp;"-"&amp;"Dem",'Data By District'!$K$7:$K$440,$B17&amp;"-"&amp;"Yes",'Data By District'!$AC$7:$AC$440,$B17&amp;"-"&amp;W$6)+COUNTIFS('Data By District'!$K$7:$K$440,$B17&amp;"-"&amp;"Yes",'Data By District'!$AB$7:$AB$440,$B17&amp;"-"&amp;"Dem",'Data By District'!$K$7:$K$440,$B17&amp;"-"&amp;"Yes",'Data By District'!$AC$7:$AC$440,$B17&amp;"-"&amp;X$6)</f>
        <v>1</v>
      </c>
      <c r="AJ17" s="332">
        <f>COUNTIFS('Data By District'!$K$7:$K$440,$B17&amp;"-"&amp;"Yes",'Data By District'!$AB$7:$AB$440,$B17&amp;"-"&amp;"Rep",'Data By District'!$K$7:$K$440,$B17&amp;"-"&amp;"Yes",'Data By District'!$AC$7:$AC$440,$B17&amp;"-"&amp;W$6)+COUNTIFS('Data By District'!$K$7:$K$440,$B17&amp;"-"&amp;"Yes",'Data By District'!$AB$7:$AB$440,$B17&amp;"-"&amp;"Rep",'Data By District'!$K$7:$K$440,$B17&amp;"-"&amp;"Yes",'Data By District'!$AC$7:$AC$440,$B17&amp;"-"&amp;X$6)</f>
        <v>0</v>
      </c>
      <c r="AK17" s="331">
        <f>COUNTIF('Data By District'!$E$7:$E$440,$B17&amp;"-"&amp;"Yes")</f>
        <v>1</v>
      </c>
      <c r="AL17" s="332">
        <f>COUNTIF('Data By District'!$F$7:$F$440,$B17&amp;"-"&amp;"Yes")</f>
        <v>0</v>
      </c>
      <c r="AM17" s="332">
        <f>COUNTIF('Data By District'!$G$7:$G$440,$B17&amp;"-"&amp;"Yes")</f>
        <v>0</v>
      </c>
      <c r="AN17" s="332">
        <f>COUNTIF('Data By District'!$H$7:$H$440,$B17&amp;"-"&amp;"Yes")</f>
        <v>2</v>
      </c>
      <c r="AO17" s="332">
        <f>COUNTIF('Data By District'!$I$7:$I$440,$B17&amp;"-"&amp;"Yes")</f>
        <v>0</v>
      </c>
      <c r="AP17" s="70">
        <f t="shared" si="8"/>
        <v>1.6245817685216799E-2</v>
      </c>
      <c r="AQ17" s="55">
        <f t="shared" si="25"/>
        <v>0.79044192161076354</v>
      </c>
      <c r="AR17" s="50">
        <f t="shared" si="26"/>
        <v>360177</v>
      </c>
      <c r="AS17" s="41">
        <f>SUMIF('Data By District'!$C$7:$C$440,$B17,'Data By District'!$O$7:$O$440)</f>
        <v>235400</v>
      </c>
      <c r="AT17" s="41">
        <f>SUMIF('Data By District'!$C$7:$C$440,$B17,'Data By District'!$Q$7:$Q$440)</f>
        <v>120084</v>
      </c>
      <c r="AU17" s="41">
        <f>SUMIF('Data By District'!$C$7:$C$440,$B17,'Data By District'!$S$7:$S$440)</f>
        <v>4693</v>
      </c>
      <c r="AV17" s="263">
        <f t="shared" si="9"/>
        <v>0.65356755150939672</v>
      </c>
      <c r="AW17" s="24">
        <f t="shared" si="10"/>
        <v>0.33340274365103822</v>
      </c>
      <c r="AX17" s="56">
        <f t="shared" si="11"/>
        <v>1.3029704839564992E-2</v>
      </c>
      <c r="AY17" s="25">
        <f>COUNTIF('Data By District'!$AB$7:$AB$440,$B17&amp;"-"&amp;AY$6)</f>
        <v>2</v>
      </c>
      <c r="AZ17" s="25">
        <f>COUNTIF('Data By District'!$AB$7:$AB$440,$B17&amp;"-"&amp;AZ$6)</f>
        <v>0</v>
      </c>
      <c r="BA17" s="25">
        <f>COUNTIF('Data By District'!$AB$7:$AB$440,$B17&amp;"-"&amp;BA$6)</f>
        <v>0</v>
      </c>
      <c r="BB17" s="259">
        <f t="shared" si="27"/>
        <v>1</v>
      </c>
      <c r="BC17" s="24">
        <f t="shared" si="28"/>
        <v>0</v>
      </c>
      <c r="BD17" s="56">
        <f t="shared" si="29"/>
        <v>0</v>
      </c>
      <c r="BE17" s="259">
        <f t="shared" si="12"/>
        <v>0.34643244849060328</v>
      </c>
      <c r="BF17" s="24">
        <f t="shared" si="13"/>
        <v>0.33340274365103822</v>
      </c>
      <c r="BG17" s="56">
        <f t="shared" si="14"/>
        <v>1.3029704839564992E-2</v>
      </c>
      <c r="BH17" s="50">
        <f t="shared" si="30"/>
        <v>284699</v>
      </c>
      <c r="BI17" s="41">
        <f>'Data By District'!AH132</f>
        <v>75478</v>
      </c>
      <c r="BJ17" s="41">
        <f>SUMIF('Data By District'!$C$7:$C$440,'Data By State'!$B17,'Data By District'!$AD$7:$AD$440)</f>
        <v>0</v>
      </c>
      <c r="BK17" s="41">
        <f>SUMIF('Data By District'!$C$7:$C$440,'Data By State'!$B17,'Data By District'!$AE$7:$AE$440)</f>
        <v>120084</v>
      </c>
      <c r="BL17" s="50">
        <f>SUMIF('Data By District'!$C$7:$C$440,'Data By State'!$B17,'Data By District'!$AF$7:$AF$440)</f>
        <v>4693</v>
      </c>
      <c r="BM17" s="64">
        <f t="shared" si="31"/>
        <v>0.2095580783892364</v>
      </c>
      <c r="BN17" s="24">
        <f t="shared" si="33"/>
        <v>0</v>
      </c>
      <c r="BO17" s="24">
        <f t="shared" si="34"/>
        <v>1</v>
      </c>
      <c r="BP17" s="56">
        <f t="shared" ref="BP17:BP56" si="35">BL17/AU17</f>
        <v>1</v>
      </c>
    </row>
    <row r="18" spans="1:68" ht="16.5" thickBot="1">
      <c r="A18" s="17" t="s">
        <v>75</v>
      </c>
      <c r="B18" s="26" t="s">
        <v>11</v>
      </c>
      <c r="C18" s="437">
        <v>439830</v>
      </c>
      <c r="D18" s="437">
        <v>1124381</v>
      </c>
      <c r="E18" s="25">
        <f t="shared" si="0"/>
        <v>34</v>
      </c>
      <c r="F18" s="25">
        <f t="shared" si="1"/>
        <v>43</v>
      </c>
      <c r="G18" s="73">
        <f t="shared" si="18"/>
        <v>16</v>
      </c>
      <c r="H18" s="25">
        <f t="shared" si="19"/>
        <v>41</v>
      </c>
      <c r="I18" s="25">
        <f t="shared" si="20"/>
        <v>26</v>
      </c>
      <c r="J18" s="25">
        <f t="shared" si="21"/>
        <v>43</v>
      </c>
      <c r="K18" s="68">
        <f t="shared" si="22"/>
        <v>24</v>
      </c>
      <c r="L18" s="67">
        <f t="shared" si="2"/>
        <v>30.4</v>
      </c>
      <c r="M18" s="64">
        <f t="shared" si="23"/>
        <v>0.37154156034587987</v>
      </c>
      <c r="N18" s="419">
        <f>AVERAGEIF('Data By District'!$C$7:$C$441,B18,'Data By District'!$Y$7:$Y$441)</f>
        <v>0.26370762668705849</v>
      </c>
      <c r="O18" s="29">
        <f t="shared" si="3"/>
        <v>1</v>
      </c>
      <c r="P18" s="29">
        <f>SUMIF('Data By District'!$C$7:$C$440,B18,'Data By District'!$V$7:$V$440)/D18</f>
        <v>0.24464305248843585</v>
      </c>
      <c r="Q18" s="29">
        <f t="shared" si="4"/>
        <v>0.36787067656041383</v>
      </c>
      <c r="R18" s="70">
        <f t="shared" si="5"/>
        <v>0.38701916876930509</v>
      </c>
      <c r="S18" s="69">
        <f t="shared" si="6"/>
        <v>2</v>
      </c>
      <c r="T18" s="25">
        <f>COUNTIF('Data By District'!$AC$7:$AC$440,$B18&amp;"-"&amp;T$6)</f>
        <v>0</v>
      </c>
      <c r="U18" s="25">
        <f>COUNTIF('Data By District'!$AC$7:$AC$440,$B18&amp;"-"&amp;U$6)</f>
        <v>0</v>
      </c>
      <c r="V18" s="25">
        <f>COUNTIF('Data By District'!$AC$7:$AC$440,$B18&amp;"-"&amp;V$6)</f>
        <v>0</v>
      </c>
      <c r="W18" s="25">
        <f>COUNTIF('Data By District'!$AC$7:$AC$440,$B18&amp;"-"&amp;W$6)</f>
        <v>2</v>
      </c>
      <c r="X18" s="25">
        <f>COUNTIF('Data By District'!$AC$7:$AC$440,$B18&amp;"-"&amp;X$6)-(Y18)</f>
        <v>0</v>
      </c>
      <c r="Y18" s="25">
        <f>COUNTIF('Data By District'!$AA$7:$AA$440,$B18&amp;"-"&amp;"Yes")</f>
        <v>0</v>
      </c>
      <c r="Z18" s="348">
        <f t="shared" si="7"/>
        <v>0</v>
      </c>
      <c r="AA18" s="350">
        <f>COUNTIF('Data By District'!$M$7:$M$440, $B18&amp;"-"&amp;1)</f>
        <v>0</v>
      </c>
      <c r="AB18" s="331">
        <f>COUNTIFS('Data By District'!$K$7:$K$440,$B18&amp;"-"&amp;"Yes",'Data By District'!$AC$7:$AC$440,$B18&amp;"-"&amp;X$6)+COUNTIFS('Data By District'!$K$7:$K$440,$B18&amp;"-"&amp;"Yes",'Data By District'!$AC$7:$AC$440,$B18&amp;"-"&amp;W$6)</f>
        <v>2</v>
      </c>
      <c r="AC18" s="328">
        <f t="shared" si="32"/>
        <v>1</v>
      </c>
      <c r="AD18" s="332">
        <f>COUNTIF('Data By District'!$K$7:$K$440,$B18&amp;"-"&amp;"Yes")</f>
        <v>2</v>
      </c>
      <c r="AE18" s="332">
        <f t="shared" si="24"/>
        <v>0</v>
      </c>
      <c r="AF18" s="332">
        <f>COUNTIF('Data By District'!$J$7:$J$440,$B18&amp;"-"&amp;"Yes")</f>
        <v>2</v>
      </c>
      <c r="AG18" s="332">
        <f>COUNTIFS('Data By District'!$K$7:$K$440,$B18&amp;"-"&amp;"Yes",'Data By District'!$AB$7:$AB$440,$B18&amp;"-"&amp;"Dem")</f>
        <v>0</v>
      </c>
      <c r="AH18" s="332">
        <f>COUNTIFS('Data By District'!$K$7:$K$440,$B18&amp;"-"&amp;"Yes",'Data By District'!$AB$7:$AB$440,$B18&amp;"-"&amp;"Rep")</f>
        <v>2</v>
      </c>
      <c r="AI18" s="332">
        <f>COUNTIFS('Data By District'!$K$7:$K$440,$B18&amp;"-"&amp;"Yes",'Data By District'!$AB$7:$AB$440,$B18&amp;"-"&amp;"Dem",'Data By District'!$K$7:$K$440,$B18&amp;"-"&amp;"Yes",'Data By District'!$AC$7:$AC$440,$B18&amp;"-"&amp;W$6)+COUNTIFS('Data By District'!$K$7:$K$440,$B18&amp;"-"&amp;"Yes",'Data By District'!$AB$7:$AB$440,$B18&amp;"-"&amp;"Dem",'Data By District'!$K$7:$K$440,$B18&amp;"-"&amp;"Yes",'Data By District'!$AC$7:$AC$440,$B18&amp;"-"&amp;X$6)</f>
        <v>0</v>
      </c>
      <c r="AJ18" s="332">
        <f>COUNTIFS('Data By District'!$K$7:$K$440,$B18&amp;"-"&amp;"Yes",'Data By District'!$AB$7:$AB$440,$B18&amp;"-"&amp;"Rep",'Data By District'!$K$7:$K$440,$B18&amp;"-"&amp;"Yes",'Data By District'!$AC$7:$AC$440,$B18&amp;"-"&amp;W$6)+COUNTIFS('Data By District'!$K$7:$K$440,$B18&amp;"-"&amp;"Yes",'Data By District'!$AB$7:$AB$440,$B18&amp;"-"&amp;"Rep",'Data By District'!$K$7:$K$440,$B18&amp;"-"&amp;"Yes",'Data By District'!$AC$7:$AC$440,$B18&amp;"-"&amp;X$6)</f>
        <v>2</v>
      </c>
      <c r="AK18" s="331">
        <f>COUNTIF('Data By District'!$E$7:$E$440,$B18&amp;"-"&amp;"Yes")</f>
        <v>0</v>
      </c>
      <c r="AL18" s="332">
        <f>COUNTIF('Data By District'!$F$7:$F$440,$B18&amp;"-"&amp;"Yes")</f>
        <v>0</v>
      </c>
      <c r="AM18" s="332">
        <f>COUNTIF('Data By District'!$G$7:$G$440,$B18&amp;"-"&amp;"Yes")</f>
        <v>1</v>
      </c>
      <c r="AN18" s="332">
        <f>COUNTIF('Data By District'!$H$7:$H$440,$B18&amp;"-"&amp;"Yes")</f>
        <v>0</v>
      </c>
      <c r="AO18" s="332">
        <f>COUNTIF('Data By District'!$I$7:$I$440,$B18&amp;"-"&amp;"Yes")</f>
        <v>0</v>
      </c>
      <c r="AP18" s="70">
        <f t="shared" si="8"/>
        <v>1.0624559488893437E-2</v>
      </c>
      <c r="AQ18" s="55">
        <f t="shared" si="25"/>
        <v>1</v>
      </c>
      <c r="AR18" s="50">
        <f t="shared" si="26"/>
        <v>435157</v>
      </c>
      <c r="AS18" s="41">
        <f>SUMIF('Data By District'!$C$7:$C$440,$B18,'Data By District'!$O$7:$O$440)</f>
        <v>160078</v>
      </c>
      <c r="AT18" s="41">
        <f>SUMIF('Data By District'!$C$7:$C$440,$B18,'Data By District'!$Q$7:$Q$440)</f>
        <v>275072</v>
      </c>
      <c r="AU18" s="41">
        <f>SUMIF('Data By District'!$C$7:$C$440,$B18,'Data By District'!$S$7:$S$440)</f>
        <v>7</v>
      </c>
      <c r="AV18" s="263">
        <f t="shared" si="9"/>
        <v>0.36786263348630494</v>
      </c>
      <c r="AW18" s="24">
        <f t="shared" si="10"/>
        <v>0.63212128036547732</v>
      </c>
      <c r="AX18" s="56">
        <f t="shared" si="11"/>
        <v>1.608614821776968E-5</v>
      </c>
      <c r="AY18" s="25">
        <f>COUNTIF('Data By District'!$AB$7:$AB$440,$B18&amp;"-"&amp;AY$6)</f>
        <v>0</v>
      </c>
      <c r="AZ18" s="25">
        <f>COUNTIF('Data By District'!$AB$7:$AB$440,$B18&amp;"-"&amp;AZ$6)</f>
        <v>2</v>
      </c>
      <c r="BA18" s="25">
        <f>COUNTIF('Data By District'!$AB$7:$AB$440,$B18&amp;"-"&amp;BA$6)</f>
        <v>0</v>
      </c>
      <c r="BB18" s="259">
        <f t="shared" si="27"/>
        <v>0</v>
      </c>
      <c r="BC18" s="24">
        <f t="shared" si="28"/>
        <v>1</v>
      </c>
      <c r="BD18" s="56">
        <f t="shared" si="29"/>
        <v>0</v>
      </c>
      <c r="BE18" s="259">
        <f t="shared" si="12"/>
        <v>0.36786263348630494</v>
      </c>
      <c r="BF18" s="24">
        <f t="shared" si="13"/>
        <v>0.36787871963452268</v>
      </c>
      <c r="BG18" s="56">
        <f t="shared" si="14"/>
        <v>1.608614821776968E-5</v>
      </c>
      <c r="BH18" s="50">
        <f t="shared" si="30"/>
        <v>435157</v>
      </c>
      <c r="BI18" s="41">
        <f>'Data By District'!AH134</f>
        <v>0</v>
      </c>
      <c r="BJ18" s="41">
        <f>SUMIF('Data By District'!$C$7:$C$440,'Data By State'!$B18,'Data By District'!$AD$7:$AD$440)</f>
        <v>160078</v>
      </c>
      <c r="BK18" s="41">
        <f>SUMIF('Data By District'!$C$7:$C$440,'Data By State'!$B18,'Data By District'!$AE$7:$AE$440)</f>
        <v>0</v>
      </c>
      <c r="BL18" s="50">
        <f>SUMIF('Data By District'!$C$7:$C$440,'Data By State'!$B18,'Data By District'!$AF$7:$AF$440)</f>
        <v>7</v>
      </c>
      <c r="BM18" s="64">
        <f t="shared" si="31"/>
        <v>0</v>
      </c>
      <c r="BN18" s="24">
        <f t="shared" si="33"/>
        <v>1</v>
      </c>
      <c r="BO18" s="24">
        <f t="shared" si="34"/>
        <v>0</v>
      </c>
      <c r="BP18" s="56" t="s">
        <v>252</v>
      </c>
    </row>
    <row r="19" spans="1:68" ht="16.5" thickBot="1">
      <c r="A19" s="17" t="s">
        <v>76</v>
      </c>
      <c r="B19" s="26" t="s">
        <v>12</v>
      </c>
      <c r="C19" s="437">
        <v>3627690</v>
      </c>
      <c r="D19" s="437">
        <v>8987613</v>
      </c>
      <c r="E19" s="25">
        <f t="shared" si="0"/>
        <v>9</v>
      </c>
      <c r="F19" s="25">
        <f t="shared" si="1"/>
        <v>14</v>
      </c>
      <c r="G19" s="73">
        <f t="shared" si="18"/>
        <v>30</v>
      </c>
      <c r="H19" s="25">
        <f t="shared" si="19"/>
        <v>19</v>
      </c>
      <c r="I19" s="25">
        <f t="shared" si="20"/>
        <v>14</v>
      </c>
      <c r="J19" s="25">
        <f t="shared" si="21"/>
        <v>5</v>
      </c>
      <c r="K19" s="68">
        <f t="shared" si="22"/>
        <v>21</v>
      </c>
      <c r="L19" s="67">
        <f t="shared" si="2"/>
        <v>16.399999999999999</v>
      </c>
      <c r="M19" s="64">
        <f t="shared" si="23"/>
        <v>0.49791613641676913</v>
      </c>
      <c r="N19" s="419">
        <f>AVERAGEIF('Data By District'!$C$7:$C$441,B19,'Data By District'!$Y$7:$Y$441)</f>
        <v>0.32722348461627243</v>
      </c>
      <c r="O19" s="29">
        <f t="shared" si="3"/>
        <v>0.66666666666666663</v>
      </c>
      <c r="P19" s="29">
        <f>SUMIF('Data By District'!$C$7:$C$440,B19,'Data By District'!$V$7:$V$440)/D19</f>
        <v>0.26244243048738303</v>
      </c>
      <c r="Q19" s="29">
        <f t="shared" si="4"/>
        <v>4.1414027607981574E-2</v>
      </c>
      <c r="R19" s="70">
        <f t="shared" si="5"/>
        <v>0.39699105869378221</v>
      </c>
      <c r="S19" s="69">
        <f t="shared" si="6"/>
        <v>18</v>
      </c>
      <c r="T19" s="25">
        <f>COUNTIF('Data By District'!$AC$7:$AC$440,$B19&amp;"-"&amp;T$6)</f>
        <v>1</v>
      </c>
      <c r="U19" s="25">
        <f>COUNTIF('Data By District'!$AC$7:$AC$440,$B19&amp;"-"&amp;U$6)</f>
        <v>1</v>
      </c>
      <c r="V19" s="25">
        <f>COUNTIF('Data By District'!$AC$7:$AC$440,$B19&amp;"-"&amp;V$6)</f>
        <v>4</v>
      </c>
      <c r="W19" s="25">
        <f>COUNTIF('Data By District'!$AC$7:$AC$440,$B19&amp;"-"&amp;W$6)</f>
        <v>5</v>
      </c>
      <c r="X19" s="25">
        <f>COUNTIF('Data By District'!$AC$7:$AC$440,$B19&amp;"-"&amp;X$6)-(Y19)</f>
        <v>7</v>
      </c>
      <c r="Y19" s="25">
        <f>COUNTIF('Data By District'!$AA$7:$AA$440,$B19&amp;"-"&amp;"Yes")</f>
        <v>0</v>
      </c>
      <c r="Z19" s="348">
        <f t="shared" si="7"/>
        <v>0</v>
      </c>
      <c r="AA19" s="350">
        <f>COUNTIF('Data By District'!$M$7:$M$440, $B19&amp;"-"&amp;1)</f>
        <v>0</v>
      </c>
      <c r="AB19" s="331">
        <f>COUNTIFS('Data By District'!$K$7:$K$440,$B19&amp;"-"&amp;"Yes",'Data By District'!$AC$7:$AC$440,$B19&amp;"-"&amp;X$6)+COUNTIFS('Data By District'!$K$7:$K$440,$B19&amp;"-"&amp;"Yes",'Data By District'!$AC$7:$AC$440,$B19&amp;"-"&amp;W$6)</f>
        <v>12</v>
      </c>
      <c r="AC19" s="328">
        <f t="shared" si="32"/>
        <v>0.75</v>
      </c>
      <c r="AD19" s="332">
        <f>COUNTIF('Data By District'!$K$7:$K$440,$B19&amp;"-"&amp;"Yes")</f>
        <v>16</v>
      </c>
      <c r="AE19" s="332">
        <f t="shared" si="24"/>
        <v>2</v>
      </c>
      <c r="AF19" s="332">
        <f>COUNTIF('Data By District'!$J$7:$J$440,$B19&amp;"-"&amp;"Yes")</f>
        <v>18</v>
      </c>
      <c r="AG19" s="332">
        <f>COUNTIFS('Data By District'!$K$7:$K$440,$B19&amp;"-"&amp;"Yes",'Data By District'!$AB$7:$AB$440,$B19&amp;"-"&amp;"Dem")</f>
        <v>10</v>
      </c>
      <c r="AH19" s="332">
        <f>COUNTIFS('Data By District'!$K$7:$K$440,$B19&amp;"-"&amp;"Yes",'Data By District'!$AB$7:$AB$440,$B19&amp;"-"&amp;"Rep")</f>
        <v>6</v>
      </c>
      <c r="AI19" s="332">
        <f>COUNTIFS('Data By District'!$K$7:$K$440,$B19&amp;"-"&amp;"Yes",'Data By District'!$AB$7:$AB$440,$B19&amp;"-"&amp;"Dem",'Data By District'!$K$7:$K$440,$B19&amp;"-"&amp;"Yes",'Data By District'!$AC$7:$AC$440,$B19&amp;"-"&amp;W$6)+COUNTIFS('Data By District'!$K$7:$K$440,$B19&amp;"-"&amp;"Yes",'Data By District'!$AB$7:$AB$440,$B19&amp;"-"&amp;"Dem",'Data By District'!$K$7:$K$440,$B19&amp;"-"&amp;"Yes",'Data By District'!$AC$7:$AC$440,$B19&amp;"-"&amp;X$6)</f>
        <v>7</v>
      </c>
      <c r="AJ19" s="332">
        <f>COUNTIFS('Data By District'!$K$7:$K$440,$B19&amp;"-"&amp;"Yes",'Data By District'!$AB$7:$AB$440,$B19&amp;"-"&amp;"Rep",'Data By District'!$K$7:$K$440,$B19&amp;"-"&amp;"Yes",'Data By District'!$AC$7:$AC$440,$B19&amp;"-"&amp;W$6)+COUNTIFS('Data By District'!$K$7:$K$440,$B19&amp;"-"&amp;"Yes",'Data By District'!$AB$7:$AB$440,$B19&amp;"-"&amp;"Rep",'Data By District'!$K$7:$K$440,$B19&amp;"-"&amp;"Yes",'Data By District'!$AC$7:$AC$440,$B19&amp;"-"&amp;X$6)</f>
        <v>5</v>
      </c>
      <c r="AK19" s="331">
        <f>COUNTIF('Data By District'!$E$7:$E$440,$B19&amp;"-"&amp;"Yes")</f>
        <v>4</v>
      </c>
      <c r="AL19" s="332">
        <f>COUNTIF('Data By District'!$F$7:$F$440,$B19&amp;"-"&amp;"Yes")</f>
        <v>3</v>
      </c>
      <c r="AM19" s="332">
        <f>COUNTIF('Data By District'!$G$7:$G$440,$B19&amp;"-"&amp;"Yes")</f>
        <v>1</v>
      </c>
      <c r="AN19" s="332">
        <f>COUNTIF('Data By District'!$H$7:$H$440,$B19&amp;"-"&amp;"Yes")</f>
        <v>1</v>
      </c>
      <c r="AO19" s="332">
        <f>COUNTIF('Data By District'!$I$7:$I$440,$B19&amp;"-"&amp;"Yes")</f>
        <v>0</v>
      </c>
      <c r="AP19" s="70">
        <f t="shared" si="8"/>
        <v>1.6453445581072253E-2</v>
      </c>
      <c r="AQ19" s="55">
        <f t="shared" si="25"/>
        <v>0.64149543638148188</v>
      </c>
      <c r="AR19" s="50">
        <f t="shared" si="26"/>
        <v>3568002</v>
      </c>
      <c r="AS19" s="41">
        <f>SUMIF('Data By District'!$C$7:$C$440,$B19,'Data By District'!$O$7:$O$440)</f>
        <v>1822779</v>
      </c>
      <c r="AT19" s="41">
        <f>SUMIF('Data By District'!$C$7:$C$440,$B19,'Data By District'!$Q$7:$Q$440)</f>
        <v>1721865</v>
      </c>
      <c r="AU19" s="41">
        <f>SUMIF('Data By District'!$C$7:$C$440,$B19,'Data By District'!$S$7:$S$440)</f>
        <v>23358</v>
      </c>
      <c r="AV19" s="263">
        <f t="shared" si="9"/>
        <v>0.51086826745052272</v>
      </c>
      <c r="AW19" s="24">
        <f t="shared" si="10"/>
        <v>0.4825852115553747</v>
      </c>
      <c r="AX19" s="56">
        <f t="shared" si="11"/>
        <v>6.5465209941025816E-3</v>
      </c>
      <c r="AY19" s="25">
        <f>COUNTIF('Data By District'!$AB$7:$AB$440,$B19&amp;"-"&amp;AY$6)</f>
        <v>10</v>
      </c>
      <c r="AZ19" s="25">
        <f>COUNTIF('Data By District'!$AB$7:$AB$440,$B19&amp;"-"&amp;AZ$6)</f>
        <v>8</v>
      </c>
      <c r="BA19" s="25">
        <f>COUNTIF('Data By District'!$AB$7:$AB$440,$B19&amp;"-"&amp;BA$6)</f>
        <v>0</v>
      </c>
      <c r="BB19" s="259">
        <f t="shared" si="27"/>
        <v>0.55555555555555558</v>
      </c>
      <c r="BC19" s="24">
        <f t="shared" si="28"/>
        <v>0.44444444444444442</v>
      </c>
      <c r="BD19" s="56">
        <f t="shared" si="29"/>
        <v>0</v>
      </c>
      <c r="BE19" s="259">
        <f t="shared" si="12"/>
        <v>4.4687288105032863E-2</v>
      </c>
      <c r="BF19" s="24">
        <f t="shared" si="13"/>
        <v>3.8140767110930285E-2</v>
      </c>
      <c r="BG19" s="56">
        <f t="shared" si="14"/>
        <v>6.5465209941025816E-3</v>
      </c>
      <c r="BH19" s="50">
        <f t="shared" si="30"/>
        <v>2288857</v>
      </c>
      <c r="BI19" s="41">
        <f>'Data By District'!AH153</f>
        <v>1279145</v>
      </c>
      <c r="BJ19" s="41">
        <f>SUMIF('Data By District'!$C$7:$C$440,'Data By State'!$B19,'Data By District'!$AD$7:$AD$440)</f>
        <v>603096</v>
      </c>
      <c r="BK19" s="41">
        <f>SUMIF('Data By District'!$C$7:$C$440,'Data By State'!$B19,'Data By District'!$AE$7:$AE$440)</f>
        <v>582817</v>
      </c>
      <c r="BL19" s="50">
        <f>SUMIF('Data By District'!$C$7:$C$440,'Data By State'!$B19,'Data By District'!$AF$7:$AF$440)</f>
        <v>23358</v>
      </c>
      <c r="BM19" s="64">
        <f t="shared" si="31"/>
        <v>0.35850456361851812</v>
      </c>
      <c r="BN19" s="24">
        <f t="shared" si="33"/>
        <v>0.33086622130274707</v>
      </c>
      <c r="BO19" s="24">
        <f t="shared" si="34"/>
        <v>0.338480078287206</v>
      </c>
      <c r="BP19" s="56">
        <f t="shared" si="35"/>
        <v>1</v>
      </c>
    </row>
    <row r="20" spans="1:68" ht="16.5" thickBot="1">
      <c r="A20" s="17" t="s">
        <v>77</v>
      </c>
      <c r="B20" s="26" t="s">
        <v>13</v>
      </c>
      <c r="C20" s="437">
        <v>1341814</v>
      </c>
      <c r="D20" s="437">
        <v>4818728</v>
      </c>
      <c r="E20" s="25">
        <f t="shared" si="0"/>
        <v>46</v>
      </c>
      <c r="F20" s="25">
        <f t="shared" si="1"/>
        <v>35</v>
      </c>
      <c r="G20" s="73">
        <f t="shared" si="18"/>
        <v>23</v>
      </c>
      <c r="H20" s="25">
        <f t="shared" si="19"/>
        <v>38</v>
      </c>
      <c r="I20" s="25">
        <f t="shared" si="20"/>
        <v>47</v>
      </c>
      <c r="J20" s="25">
        <f t="shared" si="21"/>
        <v>26</v>
      </c>
      <c r="K20" s="68">
        <f t="shared" si="22"/>
        <v>47</v>
      </c>
      <c r="L20" s="67">
        <f t="shared" si="2"/>
        <v>36.200000000000003</v>
      </c>
      <c r="M20" s="64">
        <f t="shared" si="23"/>
        <v>0.40091566180350729</v>
      </c>
      <c r="N20" s="419">
        <f>AVERAGEIF('Data By District'!$C$7:$C$441,B20,'Data By District'!$Y$7:$Y$441)</f>
        <v>0.2837542894841602</v>
      </c>
      <c r="O20" s="29">
        <f t="shared" si="3"/>
        <v>0.88888888888888884</v>
      </c>
      <c r="P20" s="29">
        <f>SUMIF('Data By District'!$C$7:$C$440,B20,'Data By District'!$V$7:$V$440)/D20</f>
        <v>0.17409096342437258</v>
      </c>
      <c r="Q20" s="29">
        <f t="shared" si="4"/>
        <v>0.1709604394581597</v>
      </c>
      <c r="R20" s="70">
        <f t="shared" si="5"/>
        <v>0.27845813251961926</v>
      </c>
      <c r="S20" s="69">
        <f t="shared" si="6"/>
        <v>9</v>
      </c>
      <c r="T20" s="25">
        <f>COUNTIF('Data By District'!$AC$7:$AC$440,$B20&amp;"-"&amp;T$6)</f>
        <v>0</v>
      </c>
      <c r="U20" s="25">
        <f>COUNTIF('Data By District'!$AC$7:$AC$440,$B20&amp;"-"&amp;U$6)</f>
        <v>0</v>
      </c>
      <c r="V20" s="25">
        <f>COUNTIF('Data By District'!$AC$7:$AC$440,$B20&amp;"-"&amp;V$6)</f>
        <v>1</v>
      </c>
      <c r="W20" s="25">
        <f>COUNTIF('Data By District'!$AC$7:$AC$440,$B20&amp;"-"&amp;W$6)</f>
        <v>8</v>
      </c>
      <c r="X20" s="25">
        <f>COUNTIF('Data By District'!$AC$7:$AC$440,$B20&amp;"-"&amp;X$6)-(Y20)</f>
        <v>0</v>
      </c>
      <c r="Y20" s="25">
        <f>COUNTIF('Data By District'!$AA$7:$AA$440,$B20&amp;"-"&amp;"Yes")</f>
        <v>0</v>
      </c>
      <c r="Z20" s="348">
        <f t="shared" si="7"/>
        <v>0</v>
      </c>
      <c r="AA20" s="350">
        <f>COUNTIF('Data By District'!$M$7:$M$440, $B20&amp;"-"&amp;1)</f>
        <v>0</v>
      </c>
      <c r="AB20" s="331">
        <f>COUNTIFS('Data By District'!$K$7:$K$440,$B20&amp;"-"&amp;"Yes",'Data By District'!$AC$7:$AC$440,$B20&amp;"-"&amp;X$6)+COUNTIFS('Data By District'!$K$7:$K$440,$B20&amp;"-"&amp;"Yes",'Data By District'!$AC$7:$AC$440,$B20&amp;"-"&amp;W$6)</f>
        <v>8</v>
      </c>
      <c r="AC20" s="328">
        <f t="shared" si="32"/>
        <v>0.88888888888888884</v>
      </c>
      <c r="AD20" s="332">
        <f>COUNTIF('Data By District'!$K$7:$K$440,$B20&amp;"-"&amp;"Yes")</f>
        <v>9</v>
      </c>
      <c r="AE20" s="332">
        <f t="shared" si="24"/>
        <v>0</v>
      </c>
      <c r="AF20" s="332">
        <f>COUNTIF('Data By District'!$J$7:$J$440,$B20&amp;"-"&amp;"Yes")</f>
        <v>9</v>
      </c>
      <c r="AG20" s="332">
        <f>COUNTIFS('Data By District'!$K$7:$K$440,$B20&amp;"-"&amp;"Yes",'Data By District'!$AB$7:$AB$440,$B20&amp;"-"&amp;"Dem")</f>
        <v>2</v>
      </c>
      <c r="AH20" s="332">
        <f>COUNTIFS('Data By District'!$K$7:$K$440,$B20&amp;"-"&amp;"Yes",'Data By District'!$AB$7:$AB$440,$B20&amp;"-"&amp;"Rep")</f>
        <v>7</v>
      </c>
      <c r="AI20" s="332">
        <f>COUNTIFS('Data By District'!$K$7:$K$440,$B20&amp;"-"&amp;"Yes",'Data By District'!$AB$7:$AB$440,$B20&amp;"-"&amp;"Dem",'Data By District'!$K$7:$K$440,$B20&amp;"-"&amp;"Yes",'Data By District'!$AC$7:$AC$440,$B20&amp;"-"&amp;W$6)+COUNTIFS('Data By District'!$K$7:$K$440,$B20&amp;"-"&amp;"Yes",'Data By District'!$AB$7:$AB$440,$B20&amp;"-"&amp;"Dem",'Data By District'!$K$7:$K$440,$B20&amp;"-"&amp;"Yes",'Data By District'!$AC$7:$AC$440,$B20&amp;"-"&amp;X$6)</f>
        <v>1</v>
      </c>
      <c r="AJ20" s="332">
        <f>COUNTIFS('Data By District'!$K$7:$K$440,$B20&amp;"-"&amp;"Yes",'Data By District'!$AB$7:$AB$440,$B20&amp;"-"&amp;"Rep",'Data By District'!$K$7:$K$440,$B20&amp;"-"&amp;"Yes",'Data By District'!$AC$7:$AC$440,$B20&amp;"-"&amp;W$6)+COUNTIFS('Data By District'!$K$7:$K$440,$B20&amp;"-"&amp;"Yes",'Data By District'!$AB$7:$AB$440,$B20&amp;"-"&amp;"Rep",'Data By District'!$K$7:$K$440,$B20&amp;"-"&amp;"Yes",'Data By District'!$AC$7:$AC$440,$B20&amp;"-"&amp;X$6)</f>
        <v>7</v>
      </c>
      <c r="AK20" s="331">
        <f>COUNTIF('Data By District'!$E$7:$E$440,$B20&amp;"-"&amp;"Yes")</f>
        <v>2</v>
      </c>
      <c r="AL20" s="332">
        <f>COUNTIF('Data By District'!$F$7:$F$440,$B20&amp;"-"&amp;"Yes")</f>
        <v>1</v>
      </c>
      <c r="AM20" s="332">
        <f>COUNTIF('Data By District'!$G$7:$G$440,$B20&amp;"-"&amp;"Yes")</f>
        <v>0</v>
      </c>
      <c r="AN20" s="332">
        <f>COUNTIF('Data By District'!$H$7:$H$440,$B20&amp;"-"&amp;"Yes")</f>
        <v>0</v>
      </c>
      <c r="AO20" s="332">
        <f>COUNTIF('Data By District'!$I$7:$I$440,$B20&amp;"-"&amp;"Yes")</f>
        <v>0</v>
      </c>
      <c r="AP20" s="70">
        <f t="shared" si="8"/>
        <v>0</v>
      </c>
      <c r="AQ20" s="55">
        <f t="shared" si="25"/>
        <v>0.59955478181029564</v>
      </c>
      <c r="AR20" s="50">
        <f t="shared" si="26"/>
        <v>1341814</v>
      </c>
      <c r="AS20" s="41">
        <f>SUMIF('Data By District'!$C$7:$C$440,$B20,'Data By District'!$O$7:$O$440)</f>
        <v>502104</v>
      </c>
      <c r="AT20" s="41">
        <f>SUMIF('Data By District'!$C$7:$C$440,$B20,'Data By District'!$Q$7:$Q$440)</f>
        <v>788762</v>
      </c>
      <c r="AU20" s="41">
        <f>SUMIF('Data By District'!$C$7:$C$440,$B20,'Data By District'!$S$7:$S$440)</f>
        <v>50948</v>
      </c>
      <c r="AV20" s="263">
        <f t="shared" si="9"/>
        <v>0.37419791416694115</v>
      </c>
      <c r="AW20" s="24">
        <f t="shared" si="10"/>
        <v>0.58783259080617734</v>
      </c>
      <c r="AX20" s="56">
        <f t="shared" si="11"/>
        <v>3.7969495026881517E-2</v>
      </c>
      <c r="AY20" s="25">
        <f>COUNTIF('Data By District'!$AB$7:$AB$440,$B20&amp;"-"&amp;AY$6)</f>
        <v>2</v>
      </c>
      <c r="AZ20" s="25">
        <f>COUNTIF('Data By District'!$AB$7:$AB$440,$B20&amp;"-"&amp;AZ$6)</f>
        <v>7</v>
      </c>
      <c r="BA20" s="25">
        <f>COUNTIF('Data By District'!$AB$7:$AB$440,$B20&amp;"-"&amp;BA$6)</f>
        <v>0</v>
      </c>
      <c r="BB20" s="259">
        <f t="shared" si="27"/>
        <v>0.22222222222222221</v>
      </c>
      <c r="BC20" s="24">
        <f t="shared" si="28"/>
        <v>0.77777777777777779</v>
      </c>
      <c r="BD20" s="56">
        <f t="shared" si="29"/>
        <v>0</v>
      </c>
      <c r="BE20" s="259">
        <f t="shared" si="12"/>
        <v>0.15197569194471894</v>
      </c>
      <c r="BF20" s="24">
        <f t="shared" si="13"/>
        <v>0.18994518697160045</v>
      </c>
      <c r="BG20" s="56">
        <f t="shared" si="14"/>
        <v>3.7969495026881517E-2</v>
      </c>
      <c r="BH20" s="50">
        <f t="shared" si="30"/>
        <v>804491</v>
      </c>
      <c r="BI20" s="41">
        <f>'Data By District'!AH162</f>
        <v>537323</v>
      </c>
      <c r="BJ20" s="41">
        <f>SUMIF('Data By District'!$C$7:$C$440,'Data By State'!$B20,'Data By District'!$AD$7:$AD$440)</f>
        <v>354082</v>
      </c>
      <c r="BK20" s="41">
        <f>SUMIF('Data By District'!$C$7:$C$440,'Data By State'!$B20,'Data By District'!$AE$7:$AE$440)</f>
        <v>97887</v>
      </c>
      <c r="BL20" s="50">
        <f>SUMIF('Data By District'!$C$7:$C$440,'Data By State'!$B20,'Data By District'!$AF$7:$AF$440)</f>
        <v>50948</v>
      </c>
      <c r="BM20" s="64">
        <f t="shared" si="31"/>
        <v>0.40044521818970441</v>
      </c>
      <c r="BN20" s="24">
        <f t="shared" si="33"/>
        <v>0.7051965329891815</v>
      </c>
      <c r="BO20" s="24">
        <f t="shared" si="34"/>
        <v>0.1241020738828696</v>
      </c>
      <c r="BP20" s="56">
        <f t="shared" si="35"/>
        <v>1</v>
      </c>
    </row>
    <row r="21" spans="1:68" ht="16.5" thickBot="1">
      <c r="A21" s="17" t="s">
        <v>78</v>
      </c>
      <c r="B21" s="26" t="s">
        <v>14</v>
      </c>
      <c r="C21" s="437">
        <v>1129700</v>
      </c>
      <c r="D21" s="437">
        <v>2273985</v>
      </c>
      <c r="E21" s="25">
        <f t="shared" si="0"/>
        <v>6</v>
      </c>
      <c r="F21" s="25">
        <f t="shared" si="1"/>
        <v>3</v>
      </c>
      <c r="G21" s="73">
        <f t="shared" si="18"/>
        <v>3</v>
      </c>
      <c r="H21" s="25">
        <f t="shared" si="19"/>
        <v>5</v>
      </c>
      <c r="I21" s="25">
        <f t="shared" si="20"/>
        <v>12</v>
      </c>
      <c r="J21" s="25">
        <f t="shared" si="21"/>
        <v>31</v>
      </c>
      <c r="K21" s="68">
        <f t="shared" si="22"/>
        <v>7</v>
      </c>
      <c r="L21" s="67">
        <f t="shared" si="2"/>
        <v>12.6</v>
      </c>
      <c r="M21" s="64">
        <f t="shared" si="23"/>
        <v>0.59437393384055492</v>
      </c>
      <c r="N21" s="419">
        <f>AVERAGEIF('Data By District'!$C$7:$C$441,B21,'Data By District'!$Y$7:$Y$441)</f>
        <v>0.10317669437305683</v>
      </c>
      <c r="O21" s="29">
        <f t="shared" si="3"/>
        <v>0.25</v>
      </c>
      <c r="P21" s="29">
        <f>SUMIF('Data By District'!$C$7:$C$440,B21,'Data By District'!$V$7:$V$440)/D21</f>
        <v>0.268181628286906</v>
      </c>
      <c r="Q21" s="29">
        <f t="shared" si="4"/>
        <v>0.21131689299798095</v>
      </c>
      <c r="R21" s="70">
        <f t="shared" si="5"/>
        <v>0.49267431403461326</v>
      </c>
      <c r="S21" s="69">
        <f t="shared" si="6"/>
        <v>4</v>
      </c>
      <c r="T21" s="25">
        <f>COUNTIF('Data By District'!$AC$7:$AC$440,$B21&amp;"-"&amp;T$6)</f>
        <v>1</v>
      </c>
      <c r="U21" s="25">
        <f>COUNTIF('Data By District'!$AC$7:$AC$440,$B21&amp;"-"&amp;U$6)</f>
        <v>1</v>
      </c>
      <c r="V21" s="25">
        <f>COUNTIF('Data By District'!$AC$7:$AC$440,$B21&amp;"-"&amp;V$6)</f>
        <v>1</v>
      </c>
      <c r="W21" s="25">
        <f>COUNTIF('Data By District'!$AC$7:$AC$440,$B21&amp;"-"&amp;W$6)</f>
        <v>1</v>
      </c>
      <c r="X21" s="25">
        <f>COUNTIF('Data By District'!$AC$7:$AC$440,$B21&amp;"-"&amp;X$6)-(Y21)</f>
        <v>0</v>
      </c>
      <c r="Y21" s="25">
        <f>COUNTIF('Data By District'!$AA$7:$AA$440,$B21&amp;"-"&amp;"Yes")</f>
        <v>0</v>
      </c>
      <c r="Z21" s="348">
        <f t="shared" si="7"/>
        <v>0</v>
      </c>
      <c r="AA21" s="350">
        <f>COUNTIF('Data By District'!$M$7:$M$440, $B21&amp;"-"&amp;1)</f>
        <v>0</v>
      </c>
      <c r="AB21" s="331">
        <f>COUNTIFS('Data By District'!$K$7:$K$440,$B21&amp;"-"&amp;"Yes",'Data By District'!$AC$7:$AC$440,$B21&amp;"-"&amp;X$6)+COUNTIFS('Data By District'!$K$7:$K$440,$B21&amp;"-"&amp;"Yes",'Data By District'!$AC$7:$AC$440,$B21&amp;"-"&amp;W$6)</f>
        <v>1</v>
      </c>
      <c r="AC21" s="328">
        <f t="shared" si="32"/>
        <v>0.5</v>
      </c>
      <c r="AD21" s="332">
        <f>COUNTIF('Data By District'!$K$7:$K$440,$B21&amp;"-"&amp;"Yes")</f>
        <v>2</v>
      </c>
      <c r="AE21" s="332">
        <f t="shared" si="24"/>
        <v>0</v>
      </c>
      <c r="AF21" s="332">
        <f>COUNTIF('Data By District'!$J$7:$J$440,$B21&amp;"-"&amp;"Yes")</f>
        <v>2</v>
      </c>
      <c r="AG21" s="332">
        <f>COUNTIFS('Data By District'!$K$7:$K$440,$B21&amp;"-"&amp;"Yes",'Data By District'!$AB$7:$AB$440,$B21&amp;"-"&amp;"Dem")</f>
        <v>1</v>
      </c>
      <c r="AH21" s="332">
        <f>COUNTIFS('Data By District'!$K$7:$K$440,$B21&amp;"-"&amp;"Yes",'Data By District'!$AB$7:$AB$440,$B21&amp;"-"&amp;"Rep")</f>
        <v>1</v>
      </c>
      <c r="AI21" s="332">
        <f>COUNTIFS('Data By District'!$K$7:$K$440,$B21&amp;"-"&amp;"Yes",'Data By District'!$AB$7:$AB$440,$B21&amp;"-"&amp;"Dem",'Data By District'!$K$7:$K$440,$B21&amp;"-"&amp;"Yes",'Data By District'!$AC$7:$AC$440,$B21&amp;"-"&amp;W$6)+COUNTIFS('Data By District'!$K$7:$K$440,$B21&amp;"-"&amp;"Yes",'Data By District'!$AB$7:$AB$440,$B21&amp;"-"&amp;"Dem",'Data By District'!$K$7:$K$440,$B21&amp;"-"&amp;"Yes",'Data By District'!$AC$7:$AC$440,$B21&amp;"-"&amp;X$6)</f>
        <v>0</v>
      </c>
      <c r="AJ21" s="332">
        <f>COUNTIFS('Data By District'!$K$7:$K$440,$B21&amp;"-"&amp;"Yes",'Data By District'!$AB$7:$AB$440,$B21&amp;"-"&amp;"Rep",'Data By District'!$K$7:$K$440,$B21&amp;"-"&amp;"Yes",'Data By District'!$AC$7:$AC$440,$B21&amp;"-"&amp;W$6)+COUNTIFS('Data By District'!$K$7:$K$440,$B21&amp;"-"&amp;"Yes",'Data By District'!$AB$7:$AB$440,$B21&amp;"-"&amp;"Rep",'Data By District'!$K$7:$K$440,$B21&amp;"-"&amp;"Yes",'Data By District'!$AC$7:$AC$440,$B21&amp;"-"&amp;X$6)</f>
        <v>1</v>
      </c>
      <c r="AK21" s="331">
        <f>COUNTIF('Data By District'!$E$7:$E$440,$B21&amp;"-"&amp;"Yes")</f>
        <v>0</v>
      </c>
      <c r="AL21" s="332">
        <f>COUNTIF('Data By District'!$F$7:$F$440,$B21&amp;"-"&amp;"Yes")</f>
        <v>0</v>
      </c>
      <c r="AM21" s="332">
        <f>COUNTIF('Data By District'!$G$7:$G$440,$B21&amp;"-"&amp;"Yes")</f>
        <v>0</v>
      </c>
      <c r="AN21" s="332">
        <f>COUNTIF('Data By District'!$H$7:$H$440,$B21&amp;"-"&amp;"Yes")</f>
        <v>0</v>
      </c>
      <c r="AO21" s="332">
        <f>COUNTIF('Data By District'!$I$7:$I$440,$B21&amp;"-"&amp;"Yes")</f>
        <v>0</v>
      </c>
      <c r="AP21" s="70">
        <f t="shared" si="8"/>
        <v>8.2906966451270249E-3</v>
      </c>
      <c r="AQ21" s="55">
        <f t="shared" si="25"/>
        <v>0.59652746413123225</v>
      </c>
      <c r="AR21" s="50">
        <f t="shared" si="26"/>
        <v>1120334</v>
      </c>
      <c r="AS21" s="41">
        <f>SUMIF('Data By District'!$C$7:$C$440,$B21,'Data By District'!$O$7:$O$440)</f>
        <v>509189</v>
      </c>
      <c r="AT21" s="41">
        <f>SUMIF('Data By District'!$C$7:$C$440,$B21,'Data By District'!$Q$7:$Q$440)</f>
        <v>595865</v>
      </c>
      <c r="AU21" s="41">
        <f>SUMIF('Data By District'!$C$7:$C$440,$B21,'Data By District'!$S$7:$S$440)</f>
        <v>15280</v>
      </c>
      <c r="AV21" s="263">
        <f t="shared" si="9"/>
        <v>0.45449749806754058</v>
      </c>
      <c r="AW21" s="24">
        <f t="shared" si="10"/>
        <v>0.53186371207157868</v>
      </c>
      <c r="AX21" s="56">
        <f t="shared" si="11"/>
        <v>1.3638789860880773E-2</v>
      </c>
      <c r="AY21" s="25">
        <f>COUNTIF('Data By District'!$AB$7:$AB$440,$B21&amp;"-"&amp;AY$6)</f>
        <v>1</v>
      </c>
      <c r="AZ21" s="25">
        <f>COUNTIF('Data By District'!$AB$7:$AB$440,$B21&amp;"-"&amp;AZ$6)</f>
        <v>3</v>
      </c>
      <c r="BA21" s="25">
        <f>COUNTIF('Data By District'!$AB$7:$AB$440,$B21&amp;"-"&amp;BA$6)</f>
        <v>0</v>
      </c>
      <c r="BB21" s="259">
        <f t="shared" si="27"/>
        <v>0.25</v>
      </c>
      <c r="BC21" s="24">
        <f t="shared" si="28"/>
        <v>0.75</v>
      </c>
      <c r="BD21" s="56">
        <f t="shared" si="29"/>
        <v>0</v>
      </c>
      <c r="BE21" s="259">
        <f t="shared" si="12"/>
        <v>0.20449749806754058</v>
      </c>
      <c r="BF21" s="24">
        <f t="shared" si="13"/>
        <v>0.21813628792842132</v>
      </c>
      <c r="BG21" s="56">
        <f t="shared" si="14"/>
        <v>1.3638789860880773E-2</v>
      </c>
      <c r="BH21" s="50">
        <f t="shared" si="30"/>
        <v>668310</v>
      </c>
      <c r="BI21" s="41">
        <f>'Data By District'!AH167</f>
        <v>452024</v>
      </c>
      <c r="BJ21" s="41">
        <f>SUMIF('Data By District'!$C$7:$C$440,'Data By State'!$B21,'Data By District'!$AD$7:$AD$440)</f>
        <v>365758</v>
      </c>
      <c r="BK21" s="41">
        <f>SUMIF('Data By District'!$C$7:$C$440,'Data By State'!$B21,'Data By District'!$AE$7:$AE$440)</f>
        <v>129455</v>
      </c>
      <c r="BL21" s="50">
        <f>SUMIF('Data By District'!$C$7:$C$440,'Data By State'!$B21,'Data By District'!$AF$7:$AF$440)</f>
        <v>15280</v>
      </c>
      <c r="BM21" s="64">
        <f t="shared" si="31"/>
        <v>0.40347253586876769</v>
      </c>
      <c r="BN21" s="24">
        <f t="shared" si="33"/>
        <v>0.71831481041420764</v>
      </c>
      <c r="BO21" s="24">
        <f t="shared" si="34"/>
        <v>0.21725558641638626</v>
      </c>
      <c r="BP21" s="56">
        <f t="shared" si="35"/>
        <v>1</v>
      </c>
    </row>
    <row r="22" spans="1:68" ht="16.5" thickBot="1">
      <c r="A22" s="17" t="s">
        <v>79</v>
      </c>
      <c r="B22" s="26" t="s">
        <v>15</v>
      </c>
      <c r="C22" s="437">
        <v>869502</v>
      </c>
      <c r="D22" s="437">
        <v>2043822</v>
      </c>
      <c r="E22" s="25">
        <f t="shared" si="0"/>
        <v>15</v>
      </c>
      <c r="F22" s="25">
        <f t="shared" si="1"/>
        <v>30</v>
      </c>
      <c r="G22" s="73">
        <f t="shared" si="18"/>
        <v>17</v>
      </c>
      <c r="H22" s="25">
        <f t="shared" si="19"/>
        <v>26</v>
      </c>
      <c r="I22" s="25">
        <f t="shared" si="20"/>
        <v>13</v>
      </c>
      <c r="J22" s="25">
        <f t="shared" si="21"/>
        <v>42</v>
      </c>
      <c r="K22" s="68">
        <f t="shared" si="22"/>
        <v>13</v>
      </c>
      <c r="L22" s="67">
        <f t="shared" si="2"/>
        <v>22.2</v>
      </c>
      <c r="M22" s="64">
        <f t="shared" si="23"/>
        <v>0.42856130410652149</v>
      </c>
      <c r="N22" s="419">
        <f>AVERAGEIF('Data By District'!$C$7:$C$441,B22,'Data By District'!$Y$7:$Y$441)</f>
        <v>0.2692735624733843</v>
      </c>
      <c r="O22" s="29">
        <f t="shared" si="3"/>
        <v>0.75</v>
      </c>
      <c r="P22" s="29">
        <f>SUMIF('Data By District'!$C$7:$C$440,B22,'Data By District'!$V$7:$V$440)/D22</f>
        <v>0.2645807707324806</v>
      </c>
      <c r="Q22" s="29">
        <f t="shared" si="4"/>
        <v>0.36708145845896922</v>
      </c>
      <c r="R22" s="70">
        <f t="shared" si="5"/>
        <v>0.42189584024440485</v>
      </c>
      <c r="S22" s="69">
        <f t="shared" si="6"/>
        <v>4</v>
      </c>
      <c r="T22" s="25">
        <f>COUNTIF('Data By District'!$AC$7:$AC$440,$B22&amp;"-"&amp;T$6)</f>
        <v>0</v>
      </c>
      <c r="U22" s="25">
        <f>COUNTIF('Data By District'!$AC$7:$AC$440,$B22&amp;"-"&amp;U$6)</f>
        <v>0</v>
      </c>
      <c r="V22" s="25">
        <f>COUNTIF('Data By District'!$AC$7:$AC$440,$B22&amp;"-"&amp;V$6)</f>
        <v>1</v>
      </c>
      <c r="W22" s="25">
        <f>COUNTIF('Data By District'!$AC$7:$AC$440,$B22&amp;"-"&amp;W$6)</f>
        <v>3</v>
      </c>
      <c r="X22" s="25">
        <f>COUNTIF('Data By District'!$AC$7:$AC$440,$B22&amp;"-"&amp;X$6)-(Y22)</f>
        <v>0</v>
      </c>
      <c r="Y22" s="25">
        <f>COUNTIF('Data By District'!$AA$7:$AA$440,$B22&amp;"-"&amp;"Yes")</f>
        <v>0</v>
      </c>
      <c r="Z22" s="348">
        <f t="shared" si="7"/>
        <v>0</v>
      </c>
      <c r="AA22" s="350">
        <f>COUNTIF('Data By District'!$M$7:$M$440, $B22&amp;"-"&amp;1)</f>
        <v>0</v>
      </c>
      <c r="AB22" s="331">
        <f>COUNTIFS('Data By District'!$K$7:$K$440,$B22&amp;"-"&amp;"Yes",'Data By District'!$AC$7:$AC$440,$B22&amp;"-"&amp;X$6)+COUNTIFS('Data By District'!$K$7:$K$440,$B22&amp;"-"&amp;"Yes",'Data By District'!$AC$7:$AC$440,$B22&amp;"-"&amp;W$6)</f>
        <v>3</v>
      </c>
      <c r="AC22" s="328">
        <f t="shared" si="32"/>
        <v>0.75</v>
      </c>
      <c r="AD22" s="332">
        <f>COUNTIF('Data By District'!$K$7:$K$440,$B22&amp;"-"&amp;"Yes")</f>
        <v>4</v>
      </c>
      <c r="AE22" s="332">
        <f t="shared" si="24"/>
        <v>0</v>
      </c>
      <c r="AF22" s="332">
        <f>COUNTIF('Data By District'!$J$7:$J$440,$B22&amp;"-"&amp;"Yes")</f>
        <v>4</v>
      </c>
      <c r="AG22" s="332">
        <f>COUNTIFS('Data By District'!$K$7:$K$440,$B22&amp;"-"&amp;"Yes",'Data By District'!$AB$7:$AB$440,$B22&amp;"-"&amp;"Dem")</f>
        <v>0</v>
      </c>
      <c r="AH22" s="332">
        <f>COUNTIFS('Data By District'!$K$7:$K$440,$B22&amp;"-"&amp;"Yes",'Data By District'!$AB$7:$AB$440,$B22&amp;"-"&amp;"Rep")</f>
        <v>4</v>
      </c>
      <c r="AI22" s="332">
        <f>COUNTIFS('Data By District'!$K$7:$K$440,$B22&amp;"-"&amp;"Yes",'Data By District'!$AB$7:$AB$440,$B22&amp;"-"&amp;"Dem",'Data By District'!$K$7:$K$440,$B22&amp;"-"&amp;"Yes",'Data By District'!$AC$7:$AC$440,$B22&amp;"-"&amp;W$6)+COUNTIFS('Data By District'!$K$7:$K$440,$B22&amp;"-"&amp;"Yes",'Data By District'!$AB$7:$AB$440,$B22&amp;"-"&amp;"Dem",'Data By District'!$K$7:$K$440,$B22&amp;"-"&amp;"Yes",'Data By District'!$AC$7:$AC$440,$B22&amp;"-"&amp;X$6)</f>
        <v>0</v>
      </c>
      <c r="AJ22" s="332">
        <f>COUNTIFS('Data By District'!$K$7:$K$440,$B22&amp;"-"&amp;"Yes",'Data By District'!$AB$7:$AB$440,$B22&amp;"-"&amp;"Rep",'Data By District'!$K$7:$K$440,$B22&amp;"-"&amp;"Yes",'Data By District'!$AC$7:$AC$440,$B22&amp;"-"&amp;W$6)+COUNTIFS('Data By District'!$K$7:$K$440,$B22&amp;"-"&amp;"Yes",'Data By District'!$AB$7:$AB$440,$B22&amp;"-"&amp;"Rep",'Data By District'!$K$7:$K$440,$B22&amp;"-"&amp;"Yes",'Data By District'!$AC$7:$AC$440,$B22&amp;"-"&amp;X$6)</f>
        <v>3</v>
      </c>
      <c r="AK22" s="331">
        <f>COUNTIF('Data By District'!$E$7:$E$440,$B22&amp;"-"&amp;"Yes")</f>
        <v>1</v>
      </c>
      <c r="AL22" s="332">
        <f>COUNTIF('Data By District'!$F$7:$F$440,$B22&amp;"-"&amp;"Yes")</f>
        <v>0</v>
      </c>
      <c r="AM22" s="332">
        <f>COUNTIF('Data By District'!$G$7:$G$440,$B22&amp;"-"&amp;"Yes")</f>
        <v>0</v>
      </c>
      <c r="AN22" s="332">
        <f>COUNTIF('Data By District'!$H$7:$H$440,$B22&amp;"-"&amp;"Yes")</f>
        <v>0</v>
      </c>
      <c r="AO22" s="332">
        <f>COUNTIF('Data By District'!$I$7:$I$440,$B22&amp;"-"&amp;"Yes")</f>
        <v>0</v>
      </c>
      <c r="AP22" s="70">
        <f t="shared" si="8"/>
        <v>8.3059038392091101E-3</v>
      </c>
      <c r="AQ22" s="55">
        <f t="shared" si="25"/>
        <v>0.53449923458737303</v>
      </c>
      <c r="AR22" s="50">
        <f t="shared" si="26"/>
        <v>862280</v>
      </c>
      <c r="AS22" s="41">
        <f>SUMIF('Data By District'!$C$7:$C$440,$B22,'Data By District'!$O$7:$O$440)</f>
        <v>311530</v>
      </c>
      <c r="AT22" s="41">
        <f>SUMIF('Data By District'!$C$7:$C$440,$B22,'Data By District'!$Q$7:$Q$440)</f>
        <v>540756</v>
      </c>
      <c r="AU22" s="41">
        <f>SUMIF('Data By District'!$C$7:$C$440,$B22,'Data By District'!$S$7:$S$440)</f>
        <v>9994</v>
      </c>
      <c r="AV22" s="263">
        <f t="shared" si="9"/>
        <v>0.36128635709978196</v>
      </c>
      <c r="AW22" s="24">
        <f t="shared" si="10"/>
        <v>0.62712344018184352</v>
      </c>
      <c r="AX22" s="56">
        <f t="shared" si="11"/>
        <v>1.1590202718374541E-2</v>
      </c>
      <c r="AY22" s="25">
        <f>COUNTIF('Data By District'!$AB$7:$AB$440,$B22&amp;"-"&amp;AY$6)</f>
        <v>0</v>
      </c>
      <c r="AZ22" s="25">
        <f>COUNTIF('Data By District'!$AB$7:$AB$440,$B22&amp;"-"&amp;AZ$6)</f>
        <v>4</v>
      </c>
      <c r="BA22" s="25">
        <f>COUNTIF('Data By District'!$AB$7:$AB$440,$B22&amp;"-"&amp;BA$6)</f>
        <v>0</v>
      </c>
      <c r="BB22" s="259">
        <f t="shared" si="27"/>
        <v>0</v>
      </c>
      <c r="BC22" s="24">
        <f t="shared" si="28"/>
        <v>1</v>
      </c>
      <c r="BD22" s="56">
        <f t="shared" si="29"/>
        <v>0</v>
      </c>
      <c r="BE22" s="259">
        <f t="shared" si="12"/>
        <v>0.36128635709978196</v>
      </c>
      <c r="BF22" s="24">
        <f t="shared" si="13"/>
        <v>0.37287655981815648</v>
      </c>
      <c r="BG22" s="56">
        <f t="shared" si="14"/>
        <v>1.1590202718374541E-2</v>
      </c>
      <c r="BH22" s="50">
        <f t="shared" si="30"/>
        <v>460888</v>
      </c>
      <c r="BI22" s="41">
        <f>'Data By District'!AH171</f>
        <v>401392</v>
      </c>
      <c r="BJ22" s="41">
        <f>SUMIF('Data By District'!$C$7:$C$440,'Data By State'!$B22,'Data By District'!$AD$7:$AD$440)</f>
        <v>311530</v>
      </c>
      <c r="BK22" s="41">
        <f>SUMIF('Data By District'!$C$7:$C$440,'Data By State'!$B22,'Data By District'!$AE$7:$AE$440)</f>
        <v>0</v>
      </c>
      <c r="BL22" s="50">
        <f>SUMIF('Data By District'!$C$7:$C$440,'Data By State'!$B22,'Data By District'!$AF$7:$AF$440)</f>
        <v>9994</v>
      </c>
      <c r="BM22" s="64">
        <f t="shared" si="31"/>
        <v>0.46550076541262697</v>
      </c>
      <c r="BN22" s="24">
        <f t="shared" si="33"/>
        <v>1</v>
      </c>
      <c r="BO22" s="24">
        <f t="shared" si="34"/>
        <v>0</v>
      </c>
      <c r="BP22" s="56">
        <f t="shared" si="35"/>
        <v>1</v>
      </c>
    </row>
    <row r="23" spans="1:68" ht="14.25" customHeight="1" thickBot="1">
      <c r="A23" s="17" t="s">
        <v>80</v>
      </c>
      <c r="B23" s="26" t="s">
        <v>16</v>
      </c>
      <c r="C23" s="437">
        <v>1435868</v>
      </c>
      <c r="D23" s="437">
        <v>3260695</v>
      </c>
      <c r="E23" s="25">
        <f t="shared" si="0"/>
        <v>16</v>
      </c>
      <c r="F23" s="25">
        <f t="shared" si="1"/>
        <v>28</v>
      </c>
      <c r="G23" s="73">
        <f t="shared" si="18"/>
        <v>36</v>
      </c>
      <c r="H23" s="25">
        <f t="shared" si="19"/>
        <v>35</v>
      </c>
      <c r="I23" s="25">
        <f t="shared" si="20"/>
        <v>7</v>
      </c>
      <c r="J23" s="25">
        <f t="shared" si="21"/>
        <v>29</v>
      </c>
      <c r="K23" s="68">
        <f t="shared" si="22"/>
        <v>12</v>
      </c>
      <c r="L23" s="67">
        <f t="shared" si="2"/>
        <v>22.8</v>
      </c>
      <c r="M23" s="64">
        <f t="shared" si="23"/>
        <v>0.43625646468748885</v>
      </c>
      <c r="N23" s="419">
        <f>AVERAGEIF('Data By District'!$C$7:$C$441,B23,'Data By District'!$Y$7:$Y$441)</f>
        <v>0.37416057455408475</v>
      </c>
      <c r="O23" s="29">
        <f t="shared" si="3"/>
        <v>0.83333333333333337</v>
      </c>
      <c r="P23" s="29">
        <f>SUMIF('Data By District'!$C$7:$C$440,B23,'Data By District'!$V$7:$V$440)/D23</f>
        <v>0.29326017919492625</v>
      </c>
      <c r="Q23" s="29">
        <f t="shared" si="4"/>
        <v>0.19774412706498978</v>
      </c>
      <c r="R23" s="70">
        <f t="shared" si="5"/>
        <v>0.42862825256578735</v>
      </c>
      <c r="S23" s="69">
        <f t="shared" si="6"/>
        <v>6</v>
      </c>
      <c r="T23" s="25">
        <f>COUNTIF('Data By District'!$AC$7:$AC$440,$B23&amp;"-"&amp;T$6)</f>
        <v>0</v>
      </c>
      <c r="U23" s="25">
        <f>COUNTIF('Data By District'!$AC$7:$AC$440,$B23&amp;"-"&amp;U$6)</f>
        <v>0</v>
      </c>
      <c r="V23" s="25">
        <f>COUNTIF('Data By District'!$AC$7:$AC$440,$B23&amp;"-"&amp;V$6)</f>
        <v>1</v>
      </c>
      <c r="W23" s="25">
        <f>COUNTIF('Data By District'!$AC$7:$AC$440,$B23&amp;"-"&amp;W$6)</f>
        <v>3</v>
      </c>
      <c r="X23" s="25">
        <f>COUNTIF('Data By District'!$AC$7:$AC$440,$B23&amp;"-"&amp;X$6)-(Y23)</f>
        <v>2</v>
      </c>
      <c r="Y23" s="25">
        <f>COUNTIF('Data By District'!$AA$7:$AA$440,$B23&amp;"-"&amp;"Yes")</f>
        <v>0</v>
      </c>
      <c r="Z23" s="348">
        <f t="shared" si="7"/>
        <v>0</v>
      </c>
      <c r="AA23" s="350">
        <f>COUNTIF('Data By District'!$M$7:$M$440, $B23&amp;"-"&amp;1)</f>
        <v>0</v>
      </c>
      <c r="AB23" s="331">
        <f>COUNTIFS('Data By District'!$K$7:$K$440,$B23&amp;"-"&amp;"Yes",'Data By District'!$AC$7:$AC$440,$B23&amp;"-"&amp;X$6)+COUNTIFS('Data By District'!$K$7:$K$440,$B23&amp;"-"&amp;"Yes",'Data By District'!$AC$7:$AC$440,$B23&amp;"-"&amp;W$6)</f>
        <v>5</v>
      </c>
      <c r="AC23" s="328">
        <f t="shared" si="32"/>
        <v>0.83333333333333337</v>
      </c>
      <c r="AD23" s="332">
        <f>COUNTIF('Data By District'!$K$7:$K$440,$B23&amp;"-"&amp;"Yes")</f>
        <v>6</v>
      </c>
      <c r="AE23" s="332">
        <f t="shared" si="24"/>
        <v>0</v>
      </c>
      <c r="AF23" s="332">
        <f>COUNTIF('Data By District'!$J$7:$J$440,$B23&amp;"-"&amp;"Yes")</f>
        <v>6</v>
      </c>
      <c r="AG23" s="332">
        <f>COUNTIFS('Data By District'!$K$7:$K$440,$B23&amp;"-"&amp;"Yes",'Data By District'!$AB$7:$AB$440,$B23&amp;"-"&amp;"Dem")</f>
        <v>1</v>
      </c>
      <c r="AH23" s="332">
        <f>COUNTIFS('Data By District'!$K$7:$K$440,$B23&amp;"-"&amp;"Yes",'Data By District'!$AB$7:$AB$440,$B23&amp;"-"&amp;"Rep")</f>
        <v>5</v>
      </c>
      <c r="AI23" s="332">
        <f>COUNTIFS('Data By District'!$K$7:$K$440,$B23&amp;"-"&amp;"Yes",'Data By District'!$AB$7:$AB$440,$B23&amp;"-"&amp;"Dem",'Data By District'!$K$7:$K$440,$B23&amp;"-"&amp;"Yes",'Data By District'!$AC$7:$AC$440,$B23&amp;"-"&amp;W$6)+COUNTIFS('Data By District'!$K$7:$K$440,$B23&amp;"-"&amp;"Yes",'Data By District'!$AB$7:$AB$440,$B23&amp;"-"&amp;"Dem",'Data By District'!$K$7:$K$440,$B23&amp;"-"&amp;"Yes",'Data By District'!$AC$7:$AC$440,$B23&amp;"-"&amp;X$6)</f>
        <v>1</v>
      </c>
      <c r="AJ23" s="332">
        <f>COUNTIFS('Data By District'!$K$7:$K$440,$B23&amp;"-"&amp;"Yes",'Data By District'!$AB$7:$AB$440,$B23&amp;"-"&amp;"Rep",'Data By District'!$K$7:$K$440,$B23&amp;"-"&amp;"Yes",'Data By District'!$AC$7:$AC$440,$B23&amp;"-"&amp;W$6)+COUNTIFS('Data By District'!$K$7:$K$440,$B23&amp;"-"&amp;"Yes",'Data By District'!$AB$7:$AB$440,$B23&amp;"-"&amp;"Rep",'Data By District'!$K$7:$K$440,$B23&amp;"-"&amp;"Yes",'Data By District'!$AC$7:$AC$440,$B23&amp;"-"&amp;X$6)</f>
        <v>4</v>
      </c>
      <c r="AK23" s="331">
        <f>COUNTIF('Data By District'!$E$7:$E$440,$B23&amp;"-"&amp;"Yes")</f>
        <v>0</v>
      </c>
      <c r="AL23" s="332">
        <f>COUNTIF('Data By District'!$F$7:$F$440,$B23&amp;"-"&amp;"Yes")</f>
        <v>0</v>
      </c>
      <c r="AM23" s="332">
        <f>COUNTIF('Data By District'!$G$7:$G$440,$B23&amp;"-"&amp;"Yes")</f>
        <v>0</v>
      </c>
      <c r="AN23" s="332">
        <f>COUNTIF('Data By District'!$H$7:$H$440,$B23&amp;"-"&amp;"Yes")</f>
        <v>0</v>
      </c>
      <c r="AO23" s="332">
        <f>COUNTIF('Data By District'!$I$7:$I$440,$B23&amp;"-"&amp;"Yes")</f>
        <v>0</v>
      </c>
      <c r="AP23" s="70">
        <f t="shared" si="8"/>
        <v>2.6633367412603387E-2</v>
      </c>
      <c r="AQ23" s="55">
        <f t="shared" si="25"/>
        <v>0.67468407141824782</v>
      </c>
      <c r="AR23" s="50">
        <f t="shared" si="26"/>
        <v>1397626</v>
      </c>
      <c r="AS23" s="41">
        <f>SUMIF('Data By District'!$C$7:$C$440,$B23,'Data By District'!$O$7:$O$440)</f>
        <v>508151</v>
      </c>
      <c r="AT23" s="41">
        <f>SUMIF('Data By District'!$C$7:$C$440,$B23,'Data By District'!$Q$7:$Q$440)</f>
        <v>887157</v>
      </c>
      <c r="AU23" s="41">
        <f>SUMIF('Data By District'!$C$7:$C$440,$B23,'Data By District'!$S$7:$S$440)</f>
        <v>2318</v>
      </c>
      <c r="AV23" s="263">
        <f t="shared" si="9"/>
        <v>0.36358153039511287</v>
      </c>
      <c r="AW23" s="24">
        <f t="shared" si="10"/>
        <v>0.63475994293180005</v>
      </c>
      <c r="AX23" s="56">
        <f t="shared" si="11"/>
        <v>1.6585266730870776E-3</v>
      </c>
      <c r="AY23" s="25">
        <f>COUNTIF('Data By District'!$AB$7:$AB$440,$B23&amp;"-"&amp;AY$6)</f>
        <v>1</v>
      </c>
      <c r="AZ23" s="25">
        <f>COUNTIF('Data By District'!$AB$7:$AB$440,$B23&amp;"-"&amp;AZ$6)</f>
        <v>5</v>
      </c>
      <c r="BA23" s="25">
        <f>COUNTIF('Data By District'!$AB$7:$AB$440,$B23&amp;"-"&amp;BA$6)</f>
        <v>0</v>
      </c>
      <c r="BB23" s="259">
        <f t="shared" si="27"/>
        <v>0.16666666666666666</v>
      </c>
      <c r="BC23" s="24">
        <f t="shared" si="28"/>
        <v>0.83333333333333337</v>
      </c>
      <c r="BD23" s="56">
        <f t="shared" si="29"/>
        <v>0</v>
      </c>
      <c r="BE23" s="259">
        <f t="shared" si="12"/>
        <v>0.19691486372844622</v>
      </c>
      <c r="BF23" s="24">
        <f t="shared" si="13"/>
        <v>0.19857339040153332</v>
      </c>
      <c r="BG23" s="56">
        <f t="shared" si="14"/>
        <v>1.6585266730870776E-3</v>
      </c>
      <c r="BH23" s="50">
        <f t="shared" si="30"/>
        <v>942956</v>
      </c>
      <c r="BI23" s="41">
        <f>'Data By District'!AH177</f>
        <v>454670</v>
      </c>
      <c r="BJ23" s="41">
        <f>SUMIF('Data By District'!$C$7:$C$440,'Data By State'!$B23,'Data By District'!$AD$7:$AD$440)</f>
        <v>351095</v>
      </c>
      <c r="BK23" s="41">
        <f>SUMIF('Data By District'!$C$7:$C$440,'Data By State'!$B23,'Data By District'!$AE$7:$AE$440)</f>
        <v>87981</v>
      </c>
      <c r="BL23" s="50">
        <f>SUMIF('Data By District'!$C$7:$C$440,'Data By State'!$B23,'Data By District'!$AF$7:$AF$440)</f>
        <v>2318</v>
      </c>
      <c r="BM23" s="64">
        <f t="shared" si="31"/>
        <v>0.32531592858175218</v>
      </c>
      <c r="BN23" s="24">
        <f t="shared" si="33"/>
        <v>0.6909265159371919</v>
      </c>
      <c r="BO23" s="24">
        <f t="shared" si="34"/>
        <v>9.9171848951200292E-2</v>
      </c>
      <c r="BP23" s="56">
        <f t="shared" si="35"/>
        <v>1</v>
      </c>
    </row>
    <row r="24" spans="1:68" ht="16.5" thickBot="1">
      <c r="A24" s="17" t="s">
        <v>81</v>
      </c>
      <c r="B24" s="26" t="s">
        <v>17</v>
      </c>
      <c r="C24" s="437">
        <v>1472039</v>
      </c>
      <c r="D24" s="437">
        <v>3357066</v>
      </c>
      <c r="E24" s="25">
        <f t="shared" si="0"/>
        <v>20</v>
      </c>
      <c r="F24" s="25">
        <f t="shared" si="1"/>
        <v>38</v>
      </c>
      <c r="G24" s="73">
        <f t="shared" si="18"/>
        <v>46</v>
      </c>
      <c r="H24" s="25">
        <f t="shared" si="19"/>
        <v>41</v>
      </c>
      <c r="I24" s="25">
        <f t="shared" si="20"/>
        <v>5</v>
      </c>
      <c r="J24" s="25">
        <f t="shared" si="21"/>
        <v>22</v>
      </c>
      <c r="K24" s="68">
        <f t="shared" si="22"/>
        <v>14</v>
      </c>
      <c r="L24" s="67">
        <f t="shared" si="2"/>
        <v>23.8</v>
      </c>
      <c r="M24" s="64">
        <f t="shared" si="23"/>
        <v>0.39052457116549777</v>
      </c>
      <c r="N24" s="419">
        <f>AVERAGEIF('Data By District'!$C$7:$C$441,B24,'Data By District'!$Y$7:$Y$441)</f>
        <v>0.49232429195759436</v>
      </c>
      <c r="O24" s="29">
        <f t="shared" si="3"/>
        <v>1</v>
      </c>
      <c r="P24" s="29">
        <f>SUMIF('Data By District'!$C$7:$C$440,B24,'Data By District'!$V$7:$V$440)/D24</f>
        <v>0.30198721145190471</v>
      </c>
      <c r="Q24" s="29">
        <f t="shared" si="4"/>
        <v>0.15902727511872622</v>
      </c>
      <c r="R24" s="70">
        <f t="shared" si="5"/>
        <v>0.41935160047493852</v>
      </c>
      <c r="S24" s="69">
        <f t="shared" si="6"/>
        <v>6</v>
      </c>
      <c r="T24" s="25">
        <f>COUNTIF('Data By District'!$AC$7:$AC$440,$B24&amp;"-"&amp;T$6)</f>
        <v>0</v>
      </c>
      <c r="U24" s="25">
        <f>COUNTIF('Data By District'!$AC$7:$AC$440,$B24&amp;"-"&amp;U$6)</f>
        <v>0</v>
      </c>
      <c r="V24" s="25">
        <f>COUNTIF('Data By District'!$AC$7:$AC$440,$B24&amp;"-"&amp;V$6)</f>
        <v>0</v>
      </c>
      <c r="W24" s="25">
        <f>COUNTIF('Data By District'!$AC$7:$AC$440,$B24&amp;"-"&amp;W$6)</f>
        <v>1</v>
      </c>
      <c r="X24" s="25">
        <f>COUNTIF('Data By District'!$AC$7:$AC$440,$B24&amp;"-"&amp;X$6)-(Y24)</f>
        <v>4</v>
      </c>
      <c r="Y24" s="355">
        <f>COUNTIF('Data By District'!$AA$7:$AA$440,$B24&amp;"-"&amp;"Yes")</f>
        <v>1</v>
      </c>
      <c r="Z24" s="348">
        <f t="shared" si="7"/>
        <v>0.16666666666666666</v>
      </c>
      <c r="AA24" s="350">
        <f>COUNTIF('Data By District'!$M$7:$M$440, $B24&amp;"-"&amp;1)</f>
        <v>0</v>
      </c>
      <c r="AB24" s="331">
        <f>COUNTIFS('Data By District'!$K$7:$K$440,$B24&amp;"-"&amp;"Yes",'Data By District'!$AC$7:$AC$440,$B24&amp;"-"&amp;X$6)+COUNTIFS('Data By District'!$K$7:$K$440,$B24&amp;"-"&amp;"Yes",'Data By District'!$AC$7:$AC$440,$B24&amp;"-"&amp;W$6)</f>
        <v>4</v>
      </c>
      <c r="AC24" s="328">
        <f t="shared" si="32"/>
        <v>1</v>
      </c>
      <c r="AD24" s="332">
        <f>COUNTIF('Data By District'!$K$7:$K$440,$B24&amp;"-"&amp;"Yes")</f>
        <v>4</v>
      </c>
      <c r="AE24" s="332">
        <f t="shared" si="24"/>
        <v>0</v>
      </c>
      <c r="AF24" s="332">
        <f>COUNTIF('Data By District'!$J$7:$J$440,$B24&amp;"-"&amp;"Yes")</f>
        <v>4</v>
      </c>
      <c r="AG24" s="332">
        <f>COUNTIFS('Data By District'!$K$7:$K$440,$B24&amp;"-"&amp;"Yes",'Data By District'!$AB$7:$AB$440,$B24&amp;"-"&amp;"Dem")</f>
        <v>1</v>
      </c>
      <c r="AH24" s="332">
        <f>COUNTIFS('Data By District'!$K$7:$K$440,$B24&amp;"-"&amp;"Yes",'Data By District'!$AB$7:$AB$440,$B24&amp;"-"&amp;"Rep")</f>
        <v>3</v>
      </c>
      <c r="AI24" s="332">
        <f>COUNTIFS('Data By District'!$K$7:$K$440,$B24&amp;"-"&amp;"Yes",'Data By District'!$AB$7:$AB$440,$B24&amp;"-"&amp;"Dem",'Data By District'!$K$7:$K$440,$B24&amp;"-"&amp;"Yes",'Data By District'!$AC$7:$AC$440,$B24&amp;"-"&amp;W$6)+COUNTIFS('Data By District'!$K$7:$K$440,$B24&amp;"-"&amp;"Yes",'Data By District'!$AB$7:$AB$440,$B24&amp;"-"&amp;"Dem",'Data By District'!$K$7:$K$440,$B24&amp;"-"&amp;"Yes",'Data By District'!$AC$7:$AC$440,$B24&amp;"-"&amp;X$6)</f>
        <v>1</v>
      </c>
      <c r="AJ24" s="332">
        <f>COUNTIFS('Data By District'!$K$7:$K$440,$B24&amp;"-"&amp;"Yes",'Data By District'!$AB$7:$AB$440,$B24&amp;"-"&amp;"Rep",'Data By District'!$K$7:$K$440,$B24&amp;"-"&amp;"Yes",'Data By District'!$AC$7:$AC$440,$B24&amp;"-"&amp;W$6)+COUNTIFS('Data By District'!$K$7:$K$440,$B24&amp;"-"&amp;"Yes",'Data By District'!$AB$7:$AB$440,$B24&amp;"-"&amp;"Rep",'Data By District'!$K$7:$K$440,$B24&amp;"-"&amp;"Yes",'Data By District'!$AC$7:$AC$440,$B24&amp;"-"&amp;X$6)</f>
        <v>3</v>
      </c>
      <c r="AK24" s="331">
        <f>COUNTIF('Data By District'!$E$7:$E$440,$B24&amp;"-"&amp;"Yes")</f>
        <v>0</v>
      </c>
      <c r="AL24" s="332">
        <f>COUNTIF('Data By District'!$F$7:$F$440,$B24&amp;"-"&amp;"Yes")</f>
        <v>1</v>
      </c>
      <c r="AM24" s="332">
        <f>COUNTIF('Data By District'!$G$7:$G$440,$B24&amp;"-"&amp;"Yes")</f>
        <v>0</v>
      </c>
      <c r="AN24" s="332">
        <f>COUNTIF('Data By District'!$H$7:$H$440,$B24&amp;"-"&amp;"Yes")</f>
        <v>0</v>
      </c>
      <c r="AO24" s="332">
        <f>COUNTIF('Data By District'!$I$7:$I$440,$B24&amp;"-"&amp;"Yes")</f>
        <v>0</v>
      </c>
      <c r="AP24" s="70">
        <f t="shared" si="8"/>
        <v>4.3645582759695906E-2</v>
      </c>
      <c r="AQ24" s="55">
        <f t="shared" si="25"/>
        <v>0.72490945033744358</v>
      </c>
      <c r="AR24" s="50">
        <f>SUM(AS24:AU24)</f>
        <v>1407791</v>
      </c>
      <c r="AS24" s="41">
        <f>SUMIF('Data By District'!$C$7:$C$440,$B24,'Data By District'!$O$7:$O$440)+SUMIF('Data By District'!$C$7:$C$440,$B24,'Data By District'!$P$7:$P$440)</f>
        <v>392876</v>
      </c>
      <c r="AT24" s="41">
        <f>SUMIF('Data By District'!$C$7:$C$440,$B24,'Data By District'!$Q$7:$Q$440)+SUMIF('Data By District'!$C$7:$C$440,$B24,'Data By District'!$R$7:$R$440)</f>
        <v>883649</v>
      </c>
      <c r="AU24" s="41">
        <f>SUMIF('Data By District'!$C$7:$C$440,$B24,'Data By District'!$S$7:$S$440)</f>
        <v>131266</v>
      </c>
      <c r="AV24" s="263">
        <f t="shared" si="9"/>
        <v>0.27907267485017306</v>
      </c>
      <c r="AW24" s="24">
        <f t="shared" si="10"/>
        <v>0.62768479127938737</v>
      </c>
      <c r="AX24" s="56">
        <f t="shared" si="11"/>
        <v>9.324253387043957E-2</v>
      </c>
      <c r="AY24" s="25">
        <f>COUNTIF('Data By District'!$AB$7:$AB$440,$B24&amp;"-"&amp;AY$6)</f>
        <v>1</v>
      </c>
      <c r="AZ24" s="25">
        <f>COUNTIF('Data By District'!$AB$7:$AB$440,$B24&amp;"-"&amp;AZ$6)</f>
        <v>5</v>
      </c>
      <c r="BA24" s="25">
        <f>COUNTIF('Data By District'!$AB$7:$AB$440,$B24&amp;"-"&amp;BA$6)</f>
        <v>0</v>
      </c>
      <c r="BB24" s="259">
        <f t="shared" si="27"/>
        <v>0.16666666666666666</v>
      </c>
      <c r="BC24" s="24">
        <f t="shared" si="28"/>
        <v>0.83333333333333337</v>
      </c>
      <c r="BD24" s="56">
        <f t="shared" si="29"/>
        <v>0</v>
      </c>
      <c r="BE24" s="259">
        <f t="shared" si="12"/>
        <v>0.11240600818350641</v>
      </c>
      <c r="BF24" s="24">
        <f t="shared" si="13"/>
        <v>0.205648542053946</v>
      </c>
      <c r="BG24" s="56">
        <f t="shared" si="14"/>
        <v>9.324253387043957E-2</v>
      </c>
      <c r="BH24" s="50">
        <f t="shared" si="30"/>
        <v>1020521</v>
      </c>
      <c r="BI24" s="41">
        <f>'Data By District'!AH184</f>
        <v>387270</v>
      </c>
      <c r="BJ24" s="41">
        <f>SUMIF('Data By District'!$C$7:$C$440,'Data By State'!$B24,'Data By District'!$AD$7:$AD$440)</f>
        <v>202870</v>
      </c>
      <c r="BK24" s="41">
        <f>SUMIF('Data By District'!$C$7:$C$440,'Data By State'!$B24,'Data By District'!$AE$7:$AE$440)</f>
        <v>0</v>
      </c>
      <c r="BL24" s="50">
        <f>SUMIF('Data By District'!$C$7:$C$440,'Data By State'!$B24,'Data By District'!$AF$7:$AF$440)</f>
        <v>131266</v>
      </c>
      <c r="BM24" s="64">
        <f t="shared" si="31"/>
        <v>0.27509054966255647</v>
      </c>
      <c r="BN24" s="24">
        <f t="shared" si="33"/>
        <v>0.51637157780062926</v>
      </c>
      <c r="BO24" s="24">
        <f t="shared" si="34"/>
        <v>0</v>
      </c>
      <c r="BP24" s="56" t="s">
        <v>252</v>
      </c>
    </row>
    <row r="25" spans="1:68" ht="16.5" thickBot="1">
      <c r="A25" s="17" t="s">
        <v>82</v>
      </c>
      <c r="B25" s="26" t="s">
        <v>18</v>
      </c>
      <c r="C25" s="437">
        <v>611255</v>
      </c>
      <c r="D25" s="437">
        <v>1054332</v>
      </c>
      <c r="E25" s="25">
        <f t="shared" si="0"/>
        <v>2</v>
      </c>
      <c r="F25" s="25">
        <f t="shared" si="1"/>
        <v>8</v>
      </c>
      <c r="G25" s="73">
        <f t="shared" si="18"/>
        <v>7</v>
      </c>
      <c r="H25" s="25">
        <f t="shared" si="19"/>
        <v>9</v>
      </c>
      <c r="I25" s="25">
        <f t="shared" si="20"/>
        <v>4</v>
      </c>
      <c r="J25" s="25">
        <f t="shared" si="21"/>
        <v>8</v>
      </c>
      <c r="K25" s="68">
        <f t="shared" si="22"/>
        <v>1</v>
      </c>
      <c r="L25" s="67">
        <f t="shared" si="2"/>
        <v>6.4</v>
      </c>
      <c r="M25" s="64">
        <f t="shared" si="23"/>
        <v>0.57341174033260978</v>
      </c>
      <c r="N25" s="419">
        <f>AVERAGEIF('Data By District'!$C$7:$C$441,B25,'Data By District'!$Y$7:$Y$441)</f>
        <v>0.17481194898817015</v>
      </c>
      <c r="O25" s="29">
        <f t="shared" si="3"/>
        <v>0.5</v>
      </c>
      <c r="P25" s="29">
        <f>SUMIF('Data By District'!$C$7:$C$440,B25,'Data By District'!$V$7:$V$440)/D25</f>
        <v>0.30350401960672729</v>
      </c>
      <c r="Q25" s="29">
        <f t="shared" si="4"/>
        <v>6.5137388562235499E-2</v>
      </c>
      <c r="R25" s="70">
        <f t="shared" si="5"/>
        <v>0.56184484583603644</v>
      </c>
      <c r="S25" s="69">
        <f t="shared" si="6"/>
        <v>2</v>
      </c>
      <c r="T25" s="25">
        <f>COUNTIF('Data By District'!$AC$7:$AC$440,$B25&amp;"-"&amp;T$6)</f>
        <v>0</v>
      </c>
      <c r="U25" s="25">
        <f>COUNTIF('Data By District'!$AC$7:$AC$440,$B25&amp;"-"&amp;U$6)</f>
        <v>1</v>
      </c>
      <c r="V25" s="25">
        <f>COUNTIF('Data By District'!$AC$7:$AC$440,$B25&amp;"-"&amp;V$6)</f>
        <v>0</v>
      </c>
      <c r="W25" s="25">
        <f>COUNTIF('Data By District'!$AC$7:$AC$440,$B25&amp;"-"&amp;W$6)</f>
        <v>1</v>
      </c>
      <c r="X25" s="25">
        <f>COUNTIF('Data By District'!$AC$7:$AC$440,$B25&amp;"-"&amp;X$6)-(Y25)</f>
        <v>0</v>
      </c>
      <c r="Y25" s="25">
        <f>COUNTIF('Data By District'!$AA$7:$AA$440,$B25&amp;"-"&amp;"Yes")</f>
        <v>0</v>
      </c>
      <c r="Z25" s="348">
        <f t="shared" si="7"/>
        <v>0</v>
      </c>
      <c r="AA25" s="350">
        <f>COUNTIF('Data By District'!$M$7:$M$440, $B25&amp;"-"&amp;1)</f>
        <v>0</v>
      </c>
      <c r="AB25" s="331">
        <f>COUNTIFS('Data By District'!$K$7:$K$440,$B25&amp;"-"&amp;"Yes",'Data By District'!$AC$7:$AC$440,$B25&amp;"-"&amp;X$6)+COUNTIFS('Data By District'!$K$7:$K$440,$B25&amp;"-"&amp;"Yes",'Data By District'!$AC$7:$AC$440,$B25&amp;"-"&amp;W$6)</f>
        <v>1</v>
      </c>
      <c r="AC25" s="328">
        <f t="shared" si="32"/>
        <v>1</v>
      </c>
      <c r="AD25" s="332">
        <f>COUNTIF('Data By District'!$K$7:$K$440,$B25&amp;"-"&amp;"Yes")</f>
        <v>1</v>
      </c>
      <c r="AE25" s="332">
        <f t="shared" si="24"/>
        <v>0</v>
      </c>
      <c r="AF25" s="332">
        <f>COUNTIF('Data By District'!$J$7:$J$440,$B25&amp;"-"&amp;"Yes")</f>
        <v>1</v>
      </c>
      <c r="AG25" s="332">
        <f>COUNTIFS('Data By District'!$K$7:$K$440,$B25&amp;"-"&amp;"Yes",'Data By District'!$AB$7:$AB$440,$B25&amp;"-"&amp;"Dem")</f>
        <v>1</v>
      </c>
      <c r="AH25" s="332">
        <f>COUNTIFS('Data By District'!$K$7:$K$440,$B25&amp;"-"&amp;"Yes",'Data By District'!$AB$7:$AB$440,$B25&amp;"-"&amp;"Rep")</f>
        <v>0</v>
      </c>
      <c r="AI25" s="332">
        <f>COUNTIFS('Data By District'!$K$7:$K$440,$B25&amp;"-"&amp;"Yes",'Data By District'!$AB$7:$AB$440,$B25&amp;"-"&amp;"Dem",'Data By District'!$K$7:$K$440,$B25&amp;"-"&amp;"Yes",'Data By District'!$AC$7:$AC$440,$B25&amp;"-"&amp;W$6)+COUNTIFS('Data By District'!$K$7:$K$440,$B25&amp;"-"&amp;"Yes",'Data By District'!$AB$7:$AB$440,$B25&amp;"-"&amp;"Dem",'Data By District'!$K$7:$K$440,$B25&amp;"-"&amp;"Yes",'Data By District'!$AC$7:$AC$440,$B25&amp;"-"&amp;X$6)</f>
        <v>1</v>
      </c>
      <c r="AJ25" s="332">
        <f>COUNTIFS('Data By District'!$K$7:$K$440,$B25&amp;"-"&amp;"Yes",'Data By District'!$AB$7:$AB$440,$B25&amp;"-"&amp;"Rep",'Data By District'!$K$7:$K$440,$B25&amp;"-"&amp;"Yes",'Data By District'!$AC$7:$AC$440,$B25&amp;"-"&amp;W$6)+COUNTIFS('Data By District'!$K$7:$K$440,$B25&amp;"-"&amp;"Yes",'Data By District'!$AB$7:$AB$440,$B25&amp;"-"&amp;"Rep",'Data By District'!$K$7:$K$440,$B25&amp;"-"&amp;"Yes",'Data By District'!$AC$7:$AC$440,$B25&amp;"-"&amp;X$6)</f>
        <v>0</v>
      </c>
      <c r="AK25" s="331">
        <f>COUNTIF('Data By District'!$E$7:$E$440,$B25&amp;"-"&amp;"Yes")</f>
        <v>1</v>
      </c>
      <c r="AL25" s="332">
        <f>COUNTIF('Data By District'!$F$7:$F$440,$B25&amp;"-"&amp;"Yes")</f>
        <v>0</v>
      </c>
      <c r="AM25" s="332">
        <f>COUNTIF('Data By District'!$G$7:$G$440,$B25&amp;"-"&amp;"Yes")</f>
        <v>0</v>
      </c>
      <c r="AN25" s="332">
        <f>COUNTIF('Data By District'!$H$7:$H$440,$B25&amp;"-"&amp;"Yes")</f>
        <v>0</v>
      </c>
      <c r="AO25" s="332">
        <f>COUNTIF('Data By District'!$I$7:$I$440,$B25&amp;"-"&amp;"Yes")</f>
        <v>0</v>
      </c>
      <c r="AP25" s="70">
        <f t="shared" si="8"/>
        <v>3.0893816819494321E-2</v>
      </c>
      <c r="AQ25" s="55">
        <f t="shared" si="25"/>
        <v>0.6370568444437692</v>
      </c>
      <c r="AR25" s="50">
        <f t="shared" si="26"/>
        <v>592371</v>
      </c>
      <c r="AS25" s="41">
        <f>SUMIF('Data By District'!$C$7:$C$440,$B25,'Data By District'!$O$7:$O$440)</f>
        <v>305242</v>
      </c>
      <c r="AT25" s="41">
        <f>SUMIF('Data By District'!$C$7:$C$440,$B25,'Data By District'!$Q$7:$Q$440)</f>
        <v>228071</v>
      </c>
      <c r="AU25" s="41">
        <f>SUMIF('Data By District'!$C$7:$C$440,$B25,'Data By District'!$S$7:$S$440)</f>
        <v>59058</v>
      </c>
      <c r="AV25" s="263">
        <f t="shared" si="9"/>
        <v>0.51528856071617279</v>
      </c>
      <c r="AW25" s="24">
        <f t="shared" si="10"/>
        <v>0.3850137835917018</v>
      </c>
      <c r="AX25" s="56">
        <f t="shared" si="11"/>
        <v>9.9697655692125381E-2</v>
      </c>
      <c r="AY25" s="25">
        <f>COUNTIF('Data By District'!$AB$7:$AB$440,$B25&amp;"-"&amp;AY$6)</f>
        <v>1</v>
      </c>
      <c r="AZ25" s="25">
        <f>COUNTIF('Data By District'!$AB$7:$AB$440,$B25&amp;"-"&amp;AZ$6)</f>
        <v>1</v>
      </c>
      <c r="BA25" s="25">
        <f>COUNTIF('Data By District'!$AB$7:$AB$440,$B25&amp;"-"&amp;BA$6)</f>
        <v>0</v>
      </c>
      <c r="BB25" s="259">
        <f t="shared" si="27"/>
        <v>0.5</v>
      </c>
      <c r="BC25" s="24">
        <f t="shared" si="28"/>
        <v>0.5</v>
      </c>
      <c r="BD25" s="56">
        <f t="shared" si="29"/>
        <v>0</v>
      </c>
      <c r="BE25" s="259">
        <f t="shared" si="12"/>
        <v>1.5288560716172794E-2</v>
      </c>
      <c r="BF25" s="24">
        <f t="shared" si="13"/>
        <v>0.1149862164082982</v>
      </c>
      <c r="BG25" s="56">
        <f t="shared" si="14"/>
        <v>9.9697655692125381E-2</v>
      </c>
      <c r="BH25" s="50">
        <f t="shared" si="30"/>
        <v>377374</v>
      </c>
      <c r="BI25" s="41">
        <f>'Data By District'!AH186</f>
        <v>214997</v>
      </c>
      <c r="BJ25" s="41">
        <f>SUMIF('Data By District'!$C$7:$C$440,'Data By State'!$B25,'Data By District'!$AD$7:$AD$440)</f>
        <v>118568</v>
      </c>
      <c r="BK25" s="41">
        <f>SUMIF('Data By District'!$C$7:$C$440,'Data By State'!$B25,'Data By District'!$AE$7:$AE$440)</f>
        <v>94751</v>
      </c>
      <c r="BL25" s="50">
        <f>SUMIF('Data By District'!$C$7:$C$440,'Data By State'!$B25,'Data By District'!$AF$7:$AF$440)</f>
        <v>59058</v>
      </c>
      <c r="BM25" s="64">
        <f t="shared" si="31"/>
        <v>0.3629431555562308</v>
      </c>
      <c r="BN25" s="24">
        <f t="shared" si="33"/>
        <v>0.38843933665747177</v>
      </c>
      <c r="BO25" s="24">
        <f t="shared" si="34"/>
        <v>0.41544519031354271</v>
      </c>
      <c r="BP25" s="56">
        <f t="shared" si="35"/>
        <v>1</v>
      </c>
    </row>
    <row r="26" spans="1:68" ht="16.5" thickBot="1">
      <c r="A26" s="17" t="s">
        <v>83</v>
      </c>
      <c r="B26" s="26" t="s">
        <v>19</v>
      </c>
      <c r="C26" s="437">
        <v>1733177</v>
      </c>
      <c r="D26" s="437">
        <v>4174463</v>
      </c>
      <c r="E26" s="25">
        <f t="shared" si="0"/>
        <v>19</v>
      </c>
      <c r="F26" s="25">
        <f t="shared" si="1"/>
        <v>26</v>
      </c>
      <c r="G26" s="73">
        <f t="shared" si="18"/>
        <v>20</v>
      </c>
      <c r="H26" s="25">
        <f t="shared" si="19"/>
        <v>26</v>
      </c>
      <c r="I26" s="25">
        <f t="shared" si="20"/>
        <v>18</v>
      </c>
      <c r="J26" s="25">
        <f t="shared" si="21"/>
        <v>36</v>
      </c>
      <c r="K26" s="68">
        <f t="shared" si="22"/>
        <v>18</v>
      </c>
      <c r="L26" s="67">
        <f t="shared" si="2"/>
        <v>23.6</v>
      </c>
      <c r="M26" s="64">
        <f t="shared" si="23"/>
        <v>0.4391525748853839</v>
      </c>
      <c r="N26" s="419">
        <f>AVERAGEIF('Data By District'!$C$7:$C$441,B26,'Data By District'!$Y$7:$Y$441)</f>
        <v>0.27744141748167805</v>
      </c>
      <c r="O26" s="29">
        <f t="shared" si="3"/>
        <v>0.75</v>
      </c>
      <c r="P26" s="29">
        <f>SUMIF('Data By District'!$C$7:$C$440,B26,'Data By District'!$V$7:$V$440)/D26</f>
        <v>0.25889940813944212</v>
      </c>
      <c r="Q26" s="29">
        <f t="shared" si="4"/>
        <v>0.29459452437028677</v>
      </c>
      <c r="R26" s="70">
        <f t="shared" si="5"/>
        <v>0.40796552754210541</v>
      </c>
      <c r="S26" s="69">
        <f t="shared" si="6"/>
        <v>8</v>
      </c>
      <c r="T26" s="25">
        <f>COUNTIF('Data By District'!$AC$7:$AC$440,$B26&amp;"-"&amp;T$6)</f>
        <v>1</v>
      </c>
      <c r="U26" s="25">
        <f>COUNTIF('Data By District'!$AC$7:$AC$440,$B26&amp;"-"&amp;U$6)</f>
        <v>0</v>
      </c>
      <c r="V26" s="25">
        <f>COUNTIF('Data By District'!$AC$7:$AC$440,$B26&amp;"-"&amp;V$6)</f>
        <v>1</v>
      </c>
      <c r="W26" s="25">
        <f>COUNTIF('Data By District'!$AC$7:$AC$440,$B26&amp;"-"&amp;W$6)</f>
        <v>3</v>
      </c>
      <c r="X26" s="25">
        <f>COUNTIF('Data By District'!$AC$7:$AC$440,$B26&amp;"-"&amp;X$6)-(Y26)</f>
        <v>3</v>
      </c>
      <c r="Y26" s="25">
        <f>COUNTIF('Data By District'!$AA$7:$AA$440,$B26&amp;"-"&amp;"Yes")</f>
        <v>0</v>
      </c>
      <c r="Z26" s="348">
        <f t="shared" si="7"/>
        <v>0</v>
      </c>
      <c r="AA26" s="350">
        <f>COUNTIF('Data By District'!$M$7:$M$440, $B26&amp;"-"&amp;1)</f>
        <v>0</v>
      </c>
      <c r="AB26" s="331">
        <f>COUNTIFS('Data By District'!$K$7:$K$440,$B26&amp;"-"&amp;"Yes",'Data By District'!$AC$7:$AC$440,$B26&amp;"-"&amp;X$6)+COUNTIFS('Data By District'!$K$7:$K$440,$B26&amp;"-"&amp;"Yes",'Data By District'!$AC$7:$AC$440,$B26&amp;"-"&amp;W$6)</f>
        <v>6</v>
      </c>
      <c r="AC26" s="328">
        <f t="shared" si="32"/>
        <v>0.75</v>
      </c>
      <c r="AD26" s="332">
        <f>COUNTIF('Data By District'!$K$7:$K$440,$B26&amp;"-"&amp;"Yes")</f>
        <v>8</v>
      </c>
      <c r="AE26" s="332">
        <f t="shared" si="24"/>
        <v>0</v>
      </c>
      <c r="AF26" s="332">
        <f>COUNTIF('Data By District'!$J$7:$J$440,$B26&amp;"-"&amp;"Yes")</f>
        <v>8</v>
      </c>
      <c r="AG26" s="332">
        <f>COUNTIFS('Data By District'!$K$7:$K$440,$B26&amp;"-"&amp;"Yes",'Data By District'!$AB$7:$AB$440,$B26&amp;"-"&amp;"Dem")</f>
        <v>7</v>
      </c>
      <c r="AH26" s="332">
        <f>COUNTIFS('Data By District'!$K$7:$K$440,$B26&amp;"-"&amp;"Yes",'Data By District'!$AB$7:$AB$440,$B26&amp;"-"&amp;"Rep")</f>
        <v>1</v>
      </c>
      <c r="AI26" s="332">
        <f>COUNTIFS('Data By District'!$K$7:$K$440,$B26&amp;"-"&amp;"Yes",'Data By District'!$AB$7:$AB$440,$B26&amp;"-"&amp;"Dem",'Data By District'!$K$7:$K$440,$B26&amp;"-"&amp;"Yes",'Data By District'!$AC$7:$AC$440,$B26&amp;"-"&amp;W$6)+COUNTIFS('Data By District'!$K$7:$K$440,$B26&amp;"-"&amp;"Yes",'Data By District'!$AB$7:$AB$440,$B26&amp;"-"&amp;"Dem",'Data By District'!$K$7:$K$440,$B26&amp;"-"&amp;"Yes",'Data By District'!$AC$7:$AC$440,$B26&amp;"-"&amp;X$6)</f>
        <v>5</v>
      </c>
      <c r="AJ26" s="332">
        <f>COUNTIFS('Data By District'!$K$7:$K$440,$B26&amp;"-"&amp;"Yes",'Data By District'!$AB$7:$AB$440,$B26&amp;"-"&amp;"Rep",'Data By District'!$K$7:$K$440,$B26&amp;"-"&amp;"Yes",'Data By District'!$AC$7:$AC$440,$B26&amp;"-"&amp;W$6)+COUNTIFS('Data By District'!$K$7:$K$440,$B26&amp;"-"&amp;"Yes",'Data By District'!$AB$7:$AB$440,$B26&amp;"-"&amp;"Rep",'Data By District'!$K$7:$K$440,$B26&amp;"-"&amp;"Yes",'Data By District'!$AC$7:$AC$440,$B26&amp;"-"&amp;X$6)</f>
        <v>1</v>
      </c>
      <c r="AK26" s="331">
        <f>COUNTIF('Data By District'!$E$7:$E$440,$B26&amp;"-"&amp;"Yes")</f>
        <v>1</v>
      </c>
      <c r="AL26" s="332">
        <f>COUNTIF('Data By District'!$F$7:$F$440,$B26&amp;"-"&amp;"Yes")</f>
        <v>2</v>
      </c>
      <c r="AM26" s="332">
        <f>COUNTIF('Data By District'!$G$7:$G$440,$B26&amp;"-"&amp;"Yes")</f>
        <v>0</v>
      </c>
      <c r="AN26" s="332">
        <f>COUNTIF('Data By District'!$H$7:$H$440,$B26&amp;"-"&amp;"Yes")</f>
        <v>0</v>
      </c>
      <c r="AO26" s="332">
        <f>COUNTIF('Data By District'!$I$7:$I$440,$B26&amp;"-"&amp;"Yes")</f>
        <v>0</v>
      </c>
      <c r="AP26" s="70">
        <f t="shared" si="8"/>
        <v>1.7390029985396759E-2</v>
      </c>
      <c r="AQ26" s="55">
        <f t="shared" si="25"/>
        <v>0.59833579657987468</v>
      </c>
      <c r="AR26" s="50">
        <f t="shared" si="26"/>
        <v>1703037</v>
      </c>
      <c r="AS26" s="41">
        <f>SUMIF('Data By District'!$C$7:$C$440,$B26,'Data By District'!$O$7:$O$440)</f>
        <v>978267</v>
      </c>
      <c r="AT26" s="41">
        <f>SUMIF('Data By District'!$C$7:$C$440,$B26,'Data By District'!$Q$7:$Q$440)</f>
        <v>704400</v>
      </c>
      <c r="AU26" s="41">
        <f>SUMIF('Data By District'!$C$7:$C$440,$B26,'Data By District'!$S$7:$S$440)</f>
        <v>20370</v>
      </c>
      <c r="AV26" s="263">
        <f t="shared" si="9"/>
        <v>0.57442498313307344</v>
      </c>
      <c r="AW26" s="24">
        <f t="shared" si="10"/>
        <v>0.41361403187364693</v>
      </c>
      <c r="AX26" s="56">
        <f t="shared" si="11"/>
        <v>1.1960984993279652E-2</v>
      </c>
      <c r="AY26" s="25">
        <f>COUNTIF('Data By District'!$AB$7:$AB$440,$B26&amp;"-"&amp;AY$6)</f>
        <v>7</v>
      </c>
      <c r="AZ26" s="25">
        <f>COUNTIF('Data By District'!$AB$7:$AB$440,$B26&amp;"-"&amp;AZ$6)</f>
        <v>1</v>
      </c>
      <c r="BA26" s="25">
        <f>COUNTIF('Data By District'!$AB$7:$AB$440,$B26&amp;"-"&amp;BA$6)</f>
        <v>0</v>
      </c>
      <c r="BB26" s="259">
        <f t="shared" si="27"/>
        <v>0.875</v>
      </c>
      <c r="BC26" s="24">
        <f t="shared" si="28"/>
        <v>0.125</v>
      </c>
      <c r="BD26" s="56">
        <f t="shared" si="29"/>
        <v>0</v>
      </c>
      <c r="BE26" s="259">
        <f t="shared" si="12"/>
        <v>0.30057501686692656</v>
      </c>
      <c r="BF26" s="24">
        <f t="shared" si="13"/>
        <v>0.28861403187364693</v>
      </c>
      <c r="BG26" s="56">
        <f t="shared" si="14"/>
        <v>1.1960984993279652E-2</v>
      </c>
      <c r="BH26" s="50">
        <f t="shared" si="30"/>
        <v>1018988</v>
      </c>
      <c r="BI26" s="41">
        <f>'Data By District'!AH194</f>
        <v>684049</v>
      </c>
      <c r="BJ26" s="41">
        <f>SUMIF('Data By District'!$C$7:$C$440,'Data By State'!$B26,'Data By District'!$AD$7:$AD$440)</f>
        <v>73843</v>
      </c>
      <c r="BK26" s="41">
        <f>SUMIF('Data By District'!$C$7:$C$440,'Data By State'!$B26,'Data By District'!$AE$7:$AE$440)</f>
        <v>528058</v>
      </c>
      <c r="BL26" s="50">
        <f>SUMIF('Data By District'!$C$7:$C$440,'Data By State'!$B26,'Data By District'!$AF$7:$AF$440)</f>
        <v>20370</v>
      </c>
      <c r="BM26" s="64">
        <f t="shared" si="31"/>
        <v>0.40166420342012532</v>
      </c>
      <c r="BN26" s="24">
        <f t="shared" si="33"/>
        <v>7.5483482525731727E-2</v>
      </c>
      <c r="BO26" s="24">
        <f t="shared" si="34"/>
        <v>0.74965644520159003</v>
      </c>
      <c r="BP26" s="56">
        <f t="shared" si="35"/>
        <v>1</v>
      </c>
    </row>
    <row r="27" spans="1:68" ht="16.5" thickBot="1">
      <c r="A27" s="17" t="s">
        <v>84</v>
      </c>
      <c r="B27" s="26" t="s">
        <v>20</v>
      </c>
      <c r="C27" s="437">
        <v>2158326</v>
      </c>
      <c r="D27" s="437">
        <v>4900170</v>
      </c>
      <c r="E27" s="25">
        <f t="shared" si="0"/>
        <v>23</v>
      </c>
      <c r="F27" s="25">
        <f t="shared" si="1"/>
        <v>39</v>
      </c>
      <c r="G27" s="73">
        <f t="shared" si="18"/>
        <v>50</v>
      </c>
      <c r="H27" s="25">
        <f t="shared" si="19"/>
        <v>31</v>
      </c>
      <c r="I27" s="25">
        <f t="shared" si="20"/>
        <v>6</v>
      </c>
      <c r="J27" s="25">
        <f t="shared" si="21"/>
        <v>27</v>
      </c>
      <c r="K27" s="68">
        <f t="shared" si="22"/>
        <v>27</v>
      </c>
      <c r="L27" s="67">
        <f t="shared" si="2"/>
        <v>24</v>
      </c>
      <c r="M27" s="64">
        <f t="shared" si="23"/>
        <v>0.38954645319814868</v>
      </c>
      <c r="N27" s="419">
        <f>AVERAGEIF('Data By District'!$C$7:$C$441,B27,'Data By District'!$Y$7:$Y$441)</f>
        <v>0.6983447447380845</v>
      </c>
      <c r="O27" s="29">
        <f t="shared" si="3"/>
        <v>0.77777777777777779</v>
      </c>
      <c r="P27" s="29">
        <f>SUMIF('Data By District'!$C$7:$C$440,B27,'Data By District'!$V$7:$V$440)/D27</f>
        <v>0.30110016591261118</v>
      </c>
      <c r="Q27" s="29">
        <f t="shared" si="4"/>
        <v>0.17834554331861663</v>
      </c>
      <c r="R27" s="70">
        <f t="shared" si="5"/>
        <v>0.37015368854549946</v>
      </c>
      <c r="S27" s="69">
        <f t="shared" si="6"/>
        <v>9</v>
      </c>
      <c r="T27" s="25">
        <f>COUNTIF('Data By District'!$AC$7:$AC$440,$B27&amp;"-"&amp;T$6)</f>
        <v>0</v>
      </c>
      <c r="U27" s="25">
        <f>COUNTIF('Data By District'!$AC$7:$AC$440,$B27&amp;"-"&amp;U$6)</f>
        <v>1</v>
      </c>
      <c r="V27" s="25">
        <f>COUNTIF('Data By District'!$AC$7:$AC$440,$B27&amp;"-"&amp;V$6)</f>
        <v>1</v>
      </c>
      <c r="W27" s="25">
        <f>COUNTIF('Data By District'!$AC$7:$AC$440,$B27&amp;"-"&amp;W$6)</f>
        <v>1</v>
      </c>
      <c r="X27" s="25">
        <f>COUNTIF('Data By District'!$AC$7:$AC$440,$B27&amp;"-"&amp;X$6)-(Y27)</f>
        <v>0</v>
      </c>
      <c r="Y27" s="25">
        <f>COUNTIF('Data By District'!$AA$7:$AA$440,$B27&amp;"-"&amp;"Yes")</f>
        <v>6</v>
      </c>
      <c r="Z27" s="348">
        <f t="shared" si="7"/>
        <v>0.66666666666666663</v>
      </c>
      <c r="AA27" s="350">
        <f>COUNTIF('Data By District'!$M$7:$M$440, $B27&amp;"-"&amp;1)</f>
        <v>0</v>
      </c>
      <c r="AB27" s="331">
        <f>COUNTIFS('Data By District'!$K$7:$K$440,$B27&amp;"-"&amp;"Yes",'Data By District'!$AC$7:$AC$440,$B27&amp;"-"&amp;X$6)+COUNTIFS('Data By District'!$K$7:$K$440,$B27&amp;"-"&amp;"Yes",'Data By District'!$AC$7:$AC$440,$B27&amp;"-"&amp;W$6)</f>
        <v>7</v>
      </c>
      <c r="AC27" s="328">
        <f t="shared" si="32"/>
        <v>0.875</v>
      </c>
      <c r="AD27" s="332">
        <f>COUNTIF('Data By District'!$K$7:$K$440,$B27&amp;"-"&amp;"Yes")</f>
        <v>8</v>
      </c>
      <c r="AE27" s="332">
        <f t="shared" si="24"/>
        <v>0</v>
      </c>
      <c r="AF27" s="332">
        <f>COUNTIF('Data By District'!$J$7:$J$440,$B27&amp;"-"&amp;"Yes")</f>
        <v>8</v>
      </c>
      <c r="AG27" s="332">
        <f>COUNTIFS('Data By District'!$K$7:$K$440,$B27&amp;"-"&amp;"Yes",'Data By District'!$AB$7:$AB$440,$B27&amp;"-"&amp;"Dem")</f>
        <v>8</v>
      </c>
      <c r="AH27" s="332">
        <f>COUNTIFS('Data By District'!$K$7:$K$440,$B27&amp;"-"&amp;"Yes",'Data By District'!$AB$7:$AB$440,$B27&amp;"-"&amp;"Rep")</f>
        <v>0</v>
      </c>
      <c r="AI27" s="332">
        <f>COUNTIFS('Data By District'!$K$7:$K$440,$B27&amp;"-"&amp;"Yes",'Data By District'!$AB$7:$AB$440,$B27&amp;"-"&amp;"Dem",'Data By District'!$K$7:$K$440,$B27&amp;"-"&amp;"Yes",'Data By District'!$AC$7:$AC$440,$B27&amp;"-"&amp;W$6)+COUNTIFS('Data By District'!$K$7:$K$440,$B27&amp;"-"&amp;"Yes",'Data By District'!$AB$7:$AB$440,$B27&amp;"-"&amp;"Dem",'Data By District'!$K$7:$K$440,$B27&amp;"-"&amp;"Yes",'Data By District'!$AC$7:$AC$440,$B27&amp;"-"&amp;X$6)</f>
        <v>7</v>
      </c>
      <c r="AJ27" s="332">
        <f>COUNTIFS('Data By District'!$K$7:$K$440,$B27&amp;"-"&amp;"Yes",'Data By District'!$AB$7:$AB$440,$B27&amp;"-"&amp;"Rep",'Data By District'!$K$7:$K$440,$B27&amp;"-"&amp;"Yes",'Data By District'!$AC$7:$AC$440,$B27&amp;"-"&amp;W$6)+COUNTIFS('Data By District'!$K$7:$K$440,$B27&amp;"-"&amp;"Yes",'Data By District'!$AB$7:$AB$440,$B27&amp;"-"&amp;"Rep",'Data By District'!$K$7:$K$440,$B27&amp;"-"&amp;"Yes",'Data By District'!$AC$7:$AC$440,$B27&amp;"-"&amp;X$6)</f>
        <v>0</v>
      </c>
      <c r="AK27" s="331">
        <f>COUNTIF('Data By District'!$E$7:$E$440,$B27&amp;"-"&amp;"Yes")</f>
        <v>2</v>
      </c>
      <c r="AL27" s="332">
        <f>COUNTIF('Data By District'!$F$7:$F$440,$B27&amp;"-"&amp;"Yes")</f>
        <v>0</v>
      </c>
      <c r="AM27" s="332">
        <f>COUNTIF('Data By District'!$G$7:$G$440,$B27&amp;"-"&amp;"Yes")</f>
        <v>0</v>
      </c>
      <c r="AN27" s="332">
        <f>COUNTIF('Data By District'!$H$7:$H$440,$B27&amp;"-"&amp;"Yes")</f>
        <v>0</v>
      </c>
      <c r="AO27" s="332">
        <f>COUNTIF('Data By District'!$I$7:$I$440,$B27&amp;"-"&amp;"Yes")</f>
        <v>0</v>
      </c>
      <c r="AP27" s="70">
        <f t="shared" si="8"/>
        <v>0.15961907515361443</v>
      </c>
      <c r="AQ27" s="55">
        <f t="shared" si="25"/>
        <v>0.7647231031152002</v>
      </c>
      <c r="AR27" s="50">
        <f t="shared" si="26"/>
        <v>1813816</v>
      </c>
      <c r="AS27" s="41">
        <f>SUMIF('Data By District'!$C$7:$C$440,$B27,'Data By District'!$O$7:$O$440)</f>
        <v>1475442</v>
      </c>
      <c r="AT27" s="41">
        <f>SUMIF('Data By District'!$C$7:$C$440,$B27,'Data By District'!$Q$7:$Q$440)</f>
        <v>308598</v>
      </c>
      <c r="AU27" s="41">
        <f>SUMIF('Data By District'!$C$7:$C$440,$B27,'Data By District'!$S$7:$S$440)</f>
        <v>29776</v>
      </c>
      <c r="AV27" s="263">
        <f t="shared" si="9"/>
        <v>0.81344634736930321</v>
      </c>
      <c r="AW27" s="24">
        <f t="shared" si="10"/>
        <v>0.1701374340065365</v>
      </c>
      <c r="AX27" s="56">
        <f t="shared" si="11"/>
        <v>1.6416218624160334E-2</v>
      </c>
      <c r="AY27" s="25">
        <f>COUNTIF('Data By District'!$AB$7:$AB$440,$B27&amp;"-"&amp;AY$6)</f>
        <v>9</v>
      </c>
      <c r="AZ27" s="25">
        <f>COUNTIF('Data By District'!$AB$7:$AB$440,$B27&amp;"-"&amp;AZ$6)</f>
        <v>0</v>
      </c>
      <c r="BA27" s="25">
        <f>COUNTIF('Data By District'!$AB$7:$AB$440,$B27&amp;"-"&amp;BA$6)</f>
        <v>0</v>
      </c>
      <c r="BB27" s="259">
        <f t="shared" si="27"/>
        <v>1</v>
      </c>
      <c r="BC27" s="24">
        <f t="shared" si="28"/>
        <v>0</v>
      </c>
      <c r="BD27" s="56">
        <f t="shared" si="29"/>
        <v>0</v>
      </c>
      <c r="BE27" s="259">
        <f t="shared" si="12"/>
        <v>0.18655365263069679</v>
      </c>
      <c r="BF27" s="24">
        <f t="shared" si="13"/>
        <v>0.1701374340065365</v>
      </c>
      <c r="BG27" s="56">
        <f t="shared" si="14"/>
        <v>1.6416218624160334E-2</v>
      </c>
      <c r="BH27" s="50">
        <f t="shared" si="30"/>
        <v>1387067</v>
      </c>
      <c r="BI27" s="41">
        <f>'Data By District'!AH204</f>
        <v>426749</v>
      </c>
      <c r="BJ27" s="41">
        <f>SUMIF('Data By District'!$C$7:$C$440,'Data By State'!$B27,'Data By District'!$AD$7:$AD$440)</f>
        <v>0</v>
      </c>
      <c r="BK27" s="41">
        <f>SUMIF('Data By District'!$C$7:$C$440,'Data By State'!$B27,'Data By District'!$AE$7:$AE$440)</f>
        <v>308598</v>
      </c>
      <c r="BL27" s="50">
        <f>SUMIF('Data By District'!$C$7:$C$440,'Data By State'!$B27,'Data By District'!$AF$7:$AF$440)</f>
        <v>29776</v>
      </c>
      <c r="BM27" s="64">
        <f t="shared" si="31"/>
        <v>0.23527689688479977</v>
      </c>
      <c r="BN27" s="24">
        <f t="shared" si="33"/>
        <v>0</v>
      </c>
      <c r="BO27" s="24">
        <f t="shared" si="34"/>
        <v>1</v>
      </c>
      <c r="BP27" s="56">
        <f t="shared" si="35"/>
        <v>1</v>
      </c>
    </row>
    <row r="28" spans="1:68" ht="16.5" thickBot="1">
      <c r="A28" s="17" t="s">
        <v>85</v>
      </c>
      <c r="B28" s="26" t="s">
        <v>21</v>
      </c>
      <c r="C28" s="437">
        <v>3156531</v>
      </c>
      <c r="D28" s="437">
        <v>7389371</v>
      </c>
      <c r="E28" s="25">
        <f t="shared" si="0"/>
        <v>11</v>
      </c>
      <c r="F28" s="25">
        <f t="shared" si="1"/>
        <v>10</v>
      </c>
      <c r="G28" s="73">
        <f t="shared" si="18"/>
        <v>19</v>
      </c>
      <c r="H28" s="25">
        <f t="shared" si="19"/>
        <v>9</v>
      </c>
      <c r="I28" s="25">
        <f t="shared" si="20"/>
        <v>21</v>
      </c>
      <c r="J28" s="25">
        <f t="shared" si="21"/>
        <v>18</v>
      </c>
      <c r="K28" s="68">
        <f t="shared" si="22"/>
        <v>15</v>
      </c>
      <c r="L28" s="67">
        <f t="shared" si="2"/>
        <v>17.600000000000001</v>
      </c>
      <c r="M28" s="64">
        <f t="shared" si="23"/>
        <v>0.51776426507832363</v>
      </c>
      <c r="N28" s="419">
        <f>AVERAGEIF('Data By District'!$C$7:$C$441,B28,'Data By District'!$Y$7:$Y$441)</f>
        <v>0.27388465631154196</v>
      </c>
      <c r="O28" s="29">
        <f t="shared" si="3"/>
        <v>0.5</v>
      </c>
      <c r="P28" s="29">
        <f>SUMIF('Data By District'!$C$7:$C$440,B28,'Data By District'!$V$7:$V$440)/D28</f>
        <v>0.25701213269708612</v>
      </c>
      <c r="Q28" s="29">
        <f t="shared" si="4"/>
        <v>0.15131828369101216</v>
      </c>
      <c r="R28" s="70">
        <f t="shared" si="5"/>
        <v>0.41809742669572281</v>
      </c>
      <c r="S28" s="69">
        <f t="shared" si="6"/>
        <v>14</v>
      </c>
      <c r="T28" s="25">
        <f>COUNTIF('Data By District'!$AC$7:$AC$440,$B28&amp;"-"&amp;T$6)</f>
        <v>0</v>
      </c>
      <c r="U28" s="25">
        <f>COUNTIF('Data By District'!$AC$7:$AC$440,$B28&amp;"-"&amp;U$6)</f>
        <v>1</v>
      </c>
      <c r="V28" s="25">
        <f>COUNTIF('Data By District'!$AC$7:$AC$440,$B28&amp;"-"&amp;V$6)</f>
        <v>6</v>
      </c>
      <c r="W28" s="25">
        <f>COUNTIF('Data By District'!$AC$7:$AC$440,$B28&amp;"-"&amp;W$6)</f>
        <v>5</v>
      </c>
      <c r="X28" s="25">
        <f>COUNTIF('Data By District'!$AC$7:$AC$440,$B28&amp;"-"&amp;X$6)-(Y28)</f>
        <v>2</v>
      </c>
      <c r="Y28" s="25">
        <f>COUNTIF('Data By District'!$AA$7:$AA$440,$B28&amp;"-"&amp;"Yes")</f>
        <v>0</v>
      </c>
      <c r="Z28" s="348">
        <f t="shared" si="7"/>
        <v>0</v>
      </c>
      <c r="AA28" s="350">
        <f>COUNTIF('Data By District'!$M$7:$M$440, $B28&amp;"-"&amp;1)</f>
        <v>0</v>
      </c>
      <c r="AB28" s="331">
        <f>COUNTIFS('Data By District'!$K$7:$K$440,$B28&amp;"-"&amp;"Yes",'Data By District'!$AC$7:$AC$440,$B28&amp;"-"&amp;X$6)+COUNTIFS('Data By District'!$K$7:$K$440,$B28&amp;"-"&amp;"Yes",'Data By District'!$AC$7:$AC$440,$B28&amp;"-"&amp;W$6)</f>
        <v>5</v>
      </c>
      <c r="AC28" s="328">
        <f t="shared" si="32"/>
        <v>0.55555555555555558</v>
      </c>
      <c r="AD28" s="332">
        <f>COUNTIF('Data By District'!$K$7:$K$440,$B28&amp;"-"&amp;"Yes")</f>
        <v>9</v>
      </c>
      <c r="AE28" s="332">
        <f t="shared" si="24"/>
        <v>0</v>
      </c>
      <c r="AF28" s="332">
        <f>COUNTIF('Data By District'!$J$7:$J$440,$B28&amp;"-"&amp;"Yes")</f>
        <v>9</v>
      </c>
      <c r="AG28" s="332">
        <f>COUNTIFS('Data By District'!$K$7:$K$440,$B28&amp;"-"&amp;"Yes",'Data By District'!$AB$7:$AB$440,$B28&amp;"-"&amp;"Dem")</f>
        <v>3</v>
      </c>
      <c r="AH28" s="332">
        <f>COUNTIFS('Data By District'!$K$7:$K$440,$B28&amp;"-"&amp;"Yes",'Data By District'!$AB$7:$AB$440,$B28&amp;"-"&amp;"Rep")</f>
        <v>6</v>
      </c>
      <c r="AI28" s="332">
        <f>COUNTIFS('Data By District'!$K$7:$K$440,$B28&amp;"-"&amp;"Yes",'Data By District'!$AB$7:$AB$440,$B28&amp;"-"&amp;"Dem",'Data By District'!$K$7:$K$440,$B28&amp;"-"&amp;"Yes",'Data By District'!$AC$7:$AC$440,$B28&amp;"-"&amp;W$6)+COUNTIFS('Data By District'!$K$7:$K$440,$B28&amp;"-"&amp;"Yes",'Data By District'!$AB$7:$AB$440,$B28&amp;"-"&amp;"Dem",'Data By District'!$K$7:$K$440,$B28&amp;"-"&amp;"Yes",'Data By District'!$AC$7:$AC$440,$B28&amp;"-"&amp;X$6)</f>
        <v>3</v>
      </c>
      <c r="AJ28" s="332">
        <f>COUNTIFS('Data By District'!$K$7:$K$440,$B28&amp;"-"&amp;"Yes",'Data By District'!$AB$7:$AB$440,$B28&amp;"-"&amp;"Rep",'Data By District'!$K$7:$K$440,$B28&amp;"-"&amp;"Yes",'Data By District'!$AC$7:$AC$440,$B28&amp;"-"&amp;W$6)+COUNTIFS('Data By District'!$K$7:$K$440,$B28&amp;"-"&amp;"Yes",'Data By District'!$AB$7:$AB$440,$B28&amp;"-"&amp;"Rep",'Data By District'!$K$7:$K$440,$B28&amp;"-"&amp;"Yes",'Data By District'!$AC$7:$AC$440,$B28&amp;"-"&amp;X$6)</f>
        <v>2</v>
      </c>
      <c r="AK28" s="331">
        <f>COUNTIF('Data By District'!$E$7:$E$440,$B28&amp;"-"&amp;"Yes")</f>
        <v>3</v>
      </c>
      <c r="AL28" s="332">
        <f>COUNTIF('Data By District'!$F$7:$F$440,$B28&amp;"-"&amp;"Yes")</f>
        <v>2</v>
      </c>
      <c r="AM28" s="332">
        <f>COUNTIF('Data By District'!$G$7:$G$440,$B28&amp;"-"&amp;"Yes")</f>
        <v>0</v>
      </c>
      <c r="AN28" s="332">
        <f>COUNTIF('Data By District'!$H$7:$H$440,$B28&amp;"-"&amp;"Yes")</f>
        <v>0</v>
      </c>
      <c r="AO28" s="332">
        <f>COUNTIF('Data By District'!$I$7:$I$440,$B28&amp;"-"&amp;"Yes")</f>
        <v>0</v>
      </c>
      <c r="AP28" s="70">
        <f t="shared" si="8"/>
        <v>2.1242940430491575E-2</v>
      </c>
      <c r="AQ28" s="55">
        <f t="shared" si="25"/>
        <v>0.5811061224925772</v>
      </c>
      <c r="AR28" s="50">
        <f t="shared" si="26"/>
        <v>3089477</v>
      </c>
      <c r="AS28" s="41">
        <f>SUMIF('Data By District'!$C$7:$C$440,$B28,'Data By District'!$O$7:$O$440)</f>
        <v>1519030</v>
      </c>
      <c r="AT28" s="41">
        <f>SUMIF('Data By District'!$C$7:$C$440,$B28,'Data By District'!$Q$7:$Q$440)</f>
        <v>1466749</v>
      </c>
      <c r="AU28" s="41">
        <f>SUMIF('Data By District'!$C$7:$C$440,$B28,'Data By District'!$S$7:$S$440)</f>
        <v>103698</v>
      </c>
      <c r="AV28" s="263">
        <f t="shared" si="9"/>
        <v>0.49167868865830688</v>
      </c>
      <c r="AW28" s="24">
        <f t="shared" si="10"/>
        <v>0.47475640699056831</v>
      </c>
      <c r="AX28" s="56">
        <f t="shared" si="11"/>
        <v>3.3564904351124802E-2</v>
      </c>
      <c r="AY28" s="25">
        <f>COUNTIF('Data By District'!$AB$7:$AB$440,$B28&amp;"-"&amp;AY$6)</f>
        <v>5</v>
      </c>
      <c r="AZ28" s="25">
        <f>COUNTIF('Data By District'!$AB$7:$AB$440,$B28&amp;"-"&amp;AZ$6)</f>
        <v>9</v>
      </c>
      <c r="BA28" s="25">
        <f>COUNTIF('Data By District'!$AB$7:$AB$440,$B28&amp;"-"&amp;BA$6)</f>
        <v>0</v>
      </c>
      <c r="BB28" s="259">
        <f t="shared" si="27"/>
        <v>0.35714285714285715</v>
      </c>
      <c r="BC28" s="24">
        <f t="shared" si="28"/>
        <v>0.6428571428571429</v>
      </c>
      <c r="BD28" s="56">
        <f t="shared" si="29"/>
        <v>0</v>
      </c>
      <c r="BE28" s="259">
        <f t="shared" si="12"/>
        <v>0.13453583151544973</v>
      </c>
      <c r="BF28" s="24">
        <f t="shared" si="13"/>
        <v>0.16810073586657459</v>
      </c>
      <c r="BG28" s="56">
        <f t="shared" si="14"/>
        <v>3.3564904351124802E-2</v>
      </c>
      <c r="BH28" s="50">
        <f t="shared" si="30"/>
        <v>1795314</v>
      </c>
      <c r="BI28" s="41">
        <f>'Data By District'!AH219</f>
        <v>1294163</v>
      </c>
      <c r="BJ28" s="41">
        <f>SUMIF('Data By District'!$C$7:$C$440,'Data By State'!$B28,'Data By District'!$AD$7:$AD$440)</f>
        <v>802178</v>
      </c>
      <c r="BK28" s="41">
        <f>SUMIF('Data By District'!$C$7:$C$440,'Data By State'!$B28,'Data By District'!$AE$7:$AE$440)</f>
        <v>284443</v>
      </c>
      <c r="BL28" s="50">
        <f>SUMIF('Data By District'!$C$7:$C$440,'Data By State'!$B28,'Data By District'!$AF$7:$AF$440)</f>
        <v>103698</v>
      </c>
      <c r="BM28" s="64">
        <f t="shared" si="31"/>
        <v>0.4188938775074228</v>
      </c>
      <c r="BN28" s="24">
        <f t="shared" si="33"/>
        <v>0.52808568626031083</v>
      </c>
      <c r="BO28" s="24">
        <f t="shared" si="34"/>
        <v>0.19392752270497543</v>
      </c>
      <c r="BP28" s="56">
        <f t="shared" si="35"/>
        <v>1</v>
      </c>
    </row>
    <row r="29" spans="1:68" ht="16.5" thickBot="1">
      <c r="A29" s="17" t="s">
        <v>86</v>
      </c>
      <c r="B29" s="26" t="s">
        <v>22</v>
      </c>
      <c r="C29" s="437">
        <v>1981511</v>
      </c>
      <c r="D29" s="437">
        <v>3945136</v>
      </c>
      <c r="E29" s="25">
        <f t="shared" si="0"/>
        <v>3</v>
      </c>
      <c r="F29" s="25">
        <f t="shared" si="1"/>
        <v>6</v>
      </c>
      <c r="G29" s="73">
        <f t="shared" si="18"/>
        <v>8</v>
      </c>
      <c r="H29" s="25">
        <f t="shared" si="19"/>
        <v>7</v>
      </c>
      <c r="I29" s="25">
        <f t="shared" si="20"/>
        <v>9</v>
      </c>
      <c r="J29" s="25">
        <f t="shared" si="21"/>
        <v>13</v>
      </c>
      <c r="K29" s="68">
        <f t="shared" si="22"/>
        <v>6</v>
      </c>
      <c r="L29" s="67">
        <f t="shared" si="2"/>
        <v>9.1999999999999993</v>
      </c>
      <c r="M29" s="64">
        <f t="shared" si="23"/>
        <v>0.5806077153182454</v>
      </c>
      <c r="N29" s="419">
        <f>AVERAGEIF('Data By District'!$C$7:$C$441,B29,'Data By District'!$Y$7:$Y$441)</f>
        <v>0.19127328817856959</v>
      </c>
      <c r="O29" s="29">
        <f t="shared" si="3"/>
        <v>0.375</v>
      </c>
      <c r="P29" s="29">
        <f>SUMIF('Data By District'!$C$7:$C$440,B29,'Data By District'!$V$7:$V$440)/D29</f>
        <v>0.28796066852955132</v>
      </c>
      <c r="Q29" s="29">
        <f t="shared" si="4"/>
        <v>0.10660947228930634</v>
      </c>
      <c r="R29" s="70">
        <f t="shared" si="5"/>
        <v>0.4977111055233584</v>
      </c>
      <c r="S29" s="69">
        <f t="shared" si="6"/>
        <v>8</v>
      </c>
      <c r="T29" s="25">
        <f>COUNTIF('Data By District'!$AC$7:$AC$440,$B29&amp;"-"&amp;T$6)</f>
        <v>1</v>
      </c>
      <c r="U29" s="25">
        <f>COUNTIF('Data By District'!$AC$7:$AC$440,$B29&amp;"-"&amp;U$6)</f>
        <v>2</v>
      </c>
      <c r="V29" s="25">
        <f>COUNTIF('Data By District'!$AC$7:$AC$440,$B29&amp;"-"&amp;V$6)</f>
        <v>2</v>
      </c>
      <c r="W29" s="25">
        <f>COUNTIF('Data By District'!$AC$7:$AC$440,$B29&amp;"-"&amp;W$6)</f>
        <v>2</v>
      </c>
      <c r="X29" s="25">
        <f>COUNTIF('Data By District'!$AC$7:$AC$440,$B29&amp;"-"&amp;X$6)-(Y29)</f>
        <v>1</v>
      </c>
      <c r="Y29" s="25">
        <f>COUNTIF('Data By District'!$AA$7:$AA$440,$B29&amp;"-"&amp;"Yes")</f>
        <v>0</v>
      </c>
      <c r="Z29" s="348">
        <f t="shared" si="7"/>
        <v>0</v>
      </c>
      <c r="AA29" s="350">
        <f>COUNTIF('Data By District'!$M$7:$M$440, $B29&amp;"-"&amp;1)</f>
        <v>0</v>
      </c>
      <c r="AB29" s="331">
        <f>COUNTIFS('Data By District'!$K$7:$K$440,$B29&amp;"-"&amp;"Yes",'Data By District'!$AC$7:$AC$440,$B29&amp;"-"&amp;X$6)+COUNTIFS('Data By District'!$K$7:$K$440,$B29&amp;"-"&amp;"Yes",'Data By District'!$AC$7:$AC$440,$B29&amp;"-"&amp;W$6)</f>
        <v>3</v>
      </c>
      <c r="AC29" s="328">
        <f t="shared" si="32"/>
        <v>0.42857142857142855</v>
      </c>
      <c r="AD29" s="332">
        <f>COUNTIF('Data By District'!$K$7:$K$440,$B29&amp;"-"&amp;"Yes")</f>
        <v>7</v>
      </c>
      <c r="AE29" s="332">
        <f t="shared" si="24"/>
        <v>0</v>
      </c>
      <c r="AF29" s="332">
        <f>COUNTIF('Data By District'!$J$7:$J$440,$B29&amp;"-"&amp;"Yes")</f>
        <v>7</v>
      </c>
      <c r="AG29" s="332">
        <f>COUNTIFS('Data By District'!$K$7:$K$440,$B29&amp;"-"&amp;"Yes",'Data By District'!$AB$7:$AB$440,$B29&amp;"-"&amp;"Dem")</f>
        <v>5</v>
      </c>
      <c r="AH29" s="332">
        <f>COUNTIFS('Data By District'!$K$7:$K$440,$B29&amp;"-"&amp;"Yes",'Data By District'!$AB$7:$AB$440,$B29&amp;"-"&amp;"Rep")</f>
        <v>2</v>
      </c>
      <c r="AI29" s="332">
        <f>COUNTIFS('Data By District'!$K$7:$K$440,$B29&amp;"-"&amp;"Yes",'Data By District'!$AB$7:$AB$440,$B29&amp;"-"&amp;"Dem",'Data By District'!$K$7:$K$440,$B29&amp;"-"&amp;"Yes",'Data By District'!$AC$7:$AC$440,$B29&amp;"-"&amp;W$6)+COUNTIFS('Data By District'!$K$7:$K$440,$B29&amp;"-"&amp;"Yes",'Data By District'!$AB$7:$AB$440,$B29&amp;"-"&amp;"Dem",'Data By District'!$K$7:$K$440,$B29&amp;"-"&amp;"Yes",'Data By District'!$AC$7:$AC$440,$B29&amp;"-"&amp;X$6)</f>
        <v>2</v>
      </c>
      <c r="AJ29" s="332">
        <f>COUNTIFS('Data By District'!$K$7:$K$440,$B29&amp;"-"&amp;"Yes",'Data By District'!$AB$7:$AB$440,$B29&amp;"-"&amp;"Rep",'Data By District'!$K$7:$K$440,$B29&amp;"-"&amp;"Yes",'Data By District'!$AC$7:$AC$440,$B29&amp;"-"&amp;W$6)+COUNTIFS('Data By District'!$K$7:$K$440,$B29&amp;"-"&amp;"Yes",'Data By District'!$AB$7:$AB$440,$B29&amp;"-"&amp;"Rep",'Data By District'!$K$7:$K$440,$B29&amp;"-"&amp;"Yes",'Data By District'!$AC$7:$AC$440,$B29&amp;"-"&amp;X$6)</f>
        <v>1</v>
      </c>
      <c r="AK29" s="331">
        <f>COUNTIF('Data By District'!$E$7:$E$440,$B29&amp;"-"&amp;"Yes")</f>
        <v>1</v>
      </c>
      <c r="AL29" s="332">
        <f>COUNTIF('Data By District'!$F$7:$F$440,$B29&amp;"-"&amp;"Yes")</f>
        <v>1</v>
      </c>
      <c r="AM29" s="332">
        <f>COUNTIF('Data By District'!$G$7:$G$440,$B29&amp;"-"&amp;"Yes")</f>
        <v>0</v>
      </c>
      <c r="AN29" s="332">
        <f>COUNTIF('Data By District'!$H$7:$H$440,$B29&amp;"-"&amp;"Yes")</f>
        <v>0</v>
      </c>
      <c r="AO29" s="332">
        <f>COUNTIF('Data By District'!$I$7:$I$440,$B29&amp;"-"&amp;"Yes")</f>
        <v>0</v>
      </c>
      <c r="AP29" s="70">
        <f t="shared" si="8"/>
        <v>9.0703508585115097E-3</v>
      </c>
      <c r="AQ29" s="55">
        <f t="shared" si="25"/>
        <v>0.60676136647215384</v>
      </c>
      <c r="AR29" s="50">
        <f t="shared" si="26"/>
        <v>1963538</v>
      </c>
      <c r="AS29" s="41">
        <f>SUMIF('Data By District'!$C$7:$C$440,$B29,'Data By District'!$O$7:$O$440)</f>
        <v>985760</v>
      </c>
      <c r="AT29" s="41">
        <f>SUMIF('Data By District'!$C$7:$C$440,$B29,'Data By District'!$Q$7:$Q$440)</f>
        <v>913539</v>
      </c>
      <c r="AU29" s="41">
        <f>SUMIF('Data By District'!$C$7:$C$440,$B29,'Data By District'!$S$7:$S$440)</f>
        <v>64239</v>
      </c>
      <c r="AV29" s="263">
        <f t="shared" si="9"/>
        <v>0.50203255551967929</v>
      </c>
      <c r="AW29" s="24">
        <f t="shared" si="10"/>
        <v>0.46525150009829197</v>
      </c>
      <c r="AX29" s="56">
        <f t="shared" si="11"/>
        <v>3.2715944382028767E-2</v>
      </c>
      <c r="AY29" s="25">
        <f>COUNTIF('Data By District'!$AB$7:$AB$440,$B29&amp;"-"&amp;AY$6)</f>
        <v>5</v>
      </c>
      <c r="AZ29" s="25">
        <f>COUNTIF('Data By District'!$AB$7:$AB$440,$B29&amp;"-"&amp;AZ$6)</f>
        <v>3</v>
      </c>
      <c r="BA29" s="25">
        <f>COUNTIF('Data By District'!$AB$7:$AB$440,$B29&amp;"-"&amp;BA$6)</f>
        <v>0</v>
      </c>
      <c r="BB29" s="259">
        <f t="shared" si="27"/>
        <v>0.625</v>
      </c>
      <c r="BC29" s="24">
        <f t="shared" si="28"/>
        <v>0.375</v>
      </c>
      <c r="BD29" s="56">
        <f t="shared" si="29"/>
        <v>0</v>
      </c>
      <c r="BE29" s="259">
        <f t="shared" si="12"/>
        <v>0.12296744448032071</v>
      </c>
      <c r="BF29" s="24">
        <f t="shared" si="13"/>
        <v>9.025150009829197E-2</v>
      </c>
      <c r="BG29" s="56">
        <f t="shared" si="14"/>
        <v>3.2715944382028767E-2</v>
      </c>
      <c r="BH29" s="50">
        <f t="shared" si="30"/>
        <v>1191399</v>
      </c>
      <c r="BI29" s="41">
        <f>'Data By District'!AH227</f>
        <v>772139</v>
      </c>
      <c r="BJ29" s="41">
        <f>SUMIF('Data By District'!$C$7:$C$440,'Data By State'!$B29,'Data By District'!$AD$7:$AD$440)</f>
        <v>288337</v>
      </c>
      <c r="BK29" s="41">
        <f>SUMIF('Data By District'!$C$7:$C$440,'Data By State'!$B29,'Data By District'!$AE$7:$AE$440)</f>
        <v>474918</v>
      </c>
      <c r="BL29" s="50">
        <f>SUMIF('Data By District'!$C$7:$C$440,'Data By State'!$B29,'Data By District'!$AF$7:$AF$440)</f>
        <v>64239</v>
      </c>
      <c r="BM29" s="64">
        <f t="shared" si="31"/>
        <v>0.39323863352784616</v>
      </c>
      <c r="BN29" s="24">
        <f t="shared" si="33"/>
        <v>0.29250223178055512</v>
      </c>
      <c r="BO29" s="24">
        <f t="shared" si="34"/>
        <v>0.51986614692968769</v>
      </c>
      <c r="BP29" s="56">
        <f t="shared" si="35"/>
        <v>1</v>
      </c>
    </row>
    <row r="30" spans="1:68" ht="16.5" thickBot="1">
      <c r="A30" s="17" t="s">
        <v>87</v>
      </c>
      <c r="B30" s="26" t="s">
        <v>23</v>
      </c>
      <c r="C30" s="437">
        <v>631858</v>
      </c>
      <c r="D30" s="437">
        <v>2187392</v>
      </c>
      <c r="E30" s="25">
        <f t="shared" si="0"/>
        <v>49</v>
      </c>
      <c r="F30" s="25">
        <f t="shared" si="1"/>
        <v>46</v>
      </c>
      <c r="G30" s="73">
        <f t="shared" si="18"/>
        <v>38</v>
      </c>
      <c r="H30" s="25">
        <f t="shared" si="19"/>
        <v>41</v>
      </c>
      <c r="I30" s="25">
        <f t="shared" si="20"/>
        <v>41</v>
      </c>
      <c r="J30" s="25">
        <f t="shared" si="21"/>
        <v>25</v>
      </c>
      <c r="K30" s="68">
        <f t="shared" si="22"/>
        <v>45</v>
      </c>
      <c r="L30" s="67">
        <f t="shared" si="2"/>
        <v>37.200000000000003</v>
      </c>
      <c r="M30" s="64">
        <f t="shared" si="23"/>
        <v>0.36007333503199834</v>
      </c>
      <c r="N30" s="419">
        <f>AVERAGEIF('Data By District'!$C$7:$C$441,B30,'Data By District'!$Y$7:$Y$441)</f>
        <v>0.42182684653059177</v>
      </c>
      <c r="O30" s="29">
        <f t="shared" si="3"/>
        <v>1</v>
      </c>
      <c r="P30" s="29">
        <f>SUMIF('Data By District'!$C$7:$C$440,B30,'Data By District'!$V$7:$V$440)/D30</f>
        <v>0.19651575940663585</v>
      </c>
      <c r="Q30" s="29">
        <f t="shared" si="4"/>
        <v>0.17083799712268816</v>
      </c>
      <c r="R30" s="70">
        <f t="shared" si="5"/>
        <v>0.28631310711568847</v>
      </c>
      <c r="S30" s="69">
        <f t="shared" si="6"/>
        <v>4</v>
      </c>
      <c r="T30" s="25">
        <f>COUNTIF('Data By District'!$AC$7:$AC$440,$B30&amp;"-"&amp;T$6)</f>
        <v>0</v>
      </c>
      <c r="U30" s="25">
        <f>COUNTIF('Data By District'!$AC$7:$AC$440,$B30&amp;"-"&amp;U$6)</f>
        <v>0</v>
      </c>
      <c r="V30" s="25">
        <f>COUNTIF('Data By District'!$AC$7:$AC$440,$B30&amp;"-"&amp;V$6)</f>
        <v>0</v>
      </c>
      <c r="W30" s="25">
        <f>COUNTIF('Data By District'!$AC$7:$AC$440,$B30&amp;"-"&amp;W$6)</f>
        <v>1</v>
      </c>
      <c r="X30" s="25">
        <f>COUNTIF('Data By District'!$AC$7:$AC$440,$B30&amp;"-"&amp;X$6)-(Y30)</f>
        <v>2</v>
      </c>
      <c r="Y30" s="25">
        <f>COUNTIF('Data By District'!$AA$7:$AA$440,$B30&amp;"-"&amp;"Yes")</f>
        <v>1</v>
      </c>
      <c r="Z30" s="348">
        <f t="shared" si="7"/>
        <v>0.25</v>
      </c>
      <c r="AA30" s="350">
        <f>COUNTIF('Data By District'!$M$7:$M$440, $B30&amp;"-"&amp;1)</f>
        <v>0</v>
      </c>
      <c r="AB30" s="331">
        <f>COUNTIFS('Data By District'!$K$7:$K$440,$B30&amp;"-"&amp;"Yes",'Data By District'!$AC$7:$AC$440,$B30&amp;"-"&amp;X$6)+COUNTIFS('Data By District'!$K$7:$K$440,$B30&amp;"-"&amp;"Yes",'Data By District'!$AC$7:$AC$440,$B30&amp;"-"&amp;W$6)</f>
        <v>4</v>
      </c>
      <c r="AC30" s="328">
        <f t="shared" si="32"/>
        <v>1</v>
      </c>
      <c r="AD30" s="332">
        <f>COUNTIF('Data By District'!$K$7:$K$440,$B30&amp;"-"&amp;"Yes")</f>
        <v>4</v>
      </c>
      <c r="AE30" s="332">
        <f t="shared" si="24"/>
        <v>0</v>
      </c>
      <c r="AF30" s="332">
        <f>COUNTIF('Data By District'!$J$7:$J$440,$B30&amp;"-"&amp;"Yes")</f>
        <v>4</v>
      </c>
      <c r="AG30" s="332">
        <f>COUNTIFS('Data By District'!$K$7:$K$440,$B30&amp;"-"&amp;"Yes",'Data By District'!$AB$7:$AB$440,$B30&amp;"-"&amp;"Dem")</f>
        <v>1</v>
      </c>
      <c r="AH30" s="332">
        <f>COUNTIFS('Data By District'!$K$7:$K$440,$B30&amp;"-"&amp;"Yes",'Data By District'!$AB$7:$AB$440,$B30&amp;"-"&amp;"Rep")</f>
        <v>3</v>
      </c>
      <c r="AI30" s="332">
        <f>COUNTIFS('Data By District'!$K$7:$K$440,$B30&amp;"-"&amp;"Yes",'Data By District'!$AB$7:$AB$440,$B30&amp;"-"&amp;"Dem",'Data By District'!$K$7:$K$440,$B30&amp;"-"&amp;"Yes",'Data By District'!$AC$7:$AC$440,$B30&amp;"-"&amp;W$6)+COUNTIFS('Data By District'!$K$7:$K$440,$B30&amp;"-"&amp;"Yes",'Data By District'!$AB$7:$AB$440,$B30&amp;"-"&amp;"Dem",'Data By District'!$K$7:$K$440,$B30&amp;"-"&amp;"Yes",'Data By District'!$AC$7:$AC$440,$B30&amp;"-"&amp;X$6)</f>
        <v>1</v>
      </c>
      <c r="AJ30" s="332">
        <f>COUNTIFS('Data By District'!$K$7:$K$440,$B30&amp;"-"&amp;"Yes",'Data By District'!$AB$7:$AB$440,$B30&amp;"-"&amp;"Rep",'Data By District'!$K$7:$K$440,$B30&amp;"-"&amp;"Yes",'Data By District'!$AC$7:$AC$440,$B30&amp;"-"&amp;W$6)+COUNTIFS('Data By District'!$K$7:$K$440,$B30&amp;"-"&amp;"Yes",'Data By District'!$AB$7:$AB$440,$B30&amp;"-"&amp;"Rep",'Data By District'!$K$7:$K$440,$B30&amp;"-"&amp;"Yes",'Data By District'!$AC$7:$AC$440,$B30&amp;"-"&amp;X$6)</f>
        <v>3</v>
      </c>
      <c r="AK30" s="331">
        <f>COUNTIF('Data By District'!$E$7:$E$440,$B30&amp;"-"&amp;"Yes")</f>
        <v>0</v>
      </c>
      <c r="AL30" s="332">
        <f>COUNTIF('Data By District'!$F$7:$F$440,$B30&amp;"-"&amp;"Yes")</f>
        <v>1</v>
      </c>
      <c r="AM30" s="332">
        <f>COUNTIF('Data By District'!$G$7:$G$440,$B30&amp;"-"&amp;"Yes")</f>
        <v>0</v>
      </c>
      <c r="AN30" s="332">
        <f>COUNTIF('Data By District'!$H$7:$H$440,$B30&amp;"-"&amp;"Yes")</f>
        <v>0</v>
      </c>
      <c r="AO30" s="332">
        <f>COUNTIF('Data By District'!$I$7:$I$440,$B30&amp;"-"&amp;"Yes")</f>
        <v>0</v>
      </c>
      <c r="AP30" s="70">
        <f t="shared" si="8"/>
        <v>8.8295154924049393E-3</v>
      </c>
      <c r="AQ30" s="55">
        <f t="shared" si="25"/>
        <v>0.69324853619552951</v>
      </c>
      <c r="AR30" s="50">
        <f t="shared" si="26"/>
        <v>626279</v>
      </c>
      <c r="AS30" s="41">
        <f>SUMIF('Data By District'!$C$7:$C$440,$B30,'Data By District'!$O$7:$O$440)</f>
        <v>230014</v>
      </c>
      <c r="AT30" s="41">
        <f>SUMIF('Data By District'!$C$7:$C$440,$B30,'Data By District'!$Q$7:$Q$440)</f>
        <v>329169</v>
      </c>
      <c r="AU30" s="41">
        <f>SUMIF('Data By District'!$C$7:$C$440,$B30,'Data By District'!$S$7:$S$440)</f>
        <v>67096</v>
      </c>
      <c r="AV30" s="263">
        <f t="shared" si="9"/>
        <v>0.36727081700009101</v>
      </c>
      <c r="AW30" s="24">
        <f t="shared" si="10"/>
        <v>0.5255948227547147</v>
      </c>
      <c r="AX30" s="56">
        <f t="shared" si="11"/>
        <v>0.10713436024519424</v>
      </c>
      <c r="AY30" s="25">
        <f>COUNTIF('Data By District'!$AB$7:$AB$440,$B30&amp;"-"&amp;AY$6)</f>
        <v>1</v>
      </c>
      <c r="AZ30" s="25">
        <f>COUNTIF('Data By District'!$AB$7:$AB$440,$B30&amp;"-"&amp;AZ$6)</f>
        <v>3</v>
      </c>
      <c r="BA30" s="25">
        <f>COUNTIF('Data By District'!$AB$7:$AB$440,$B30&amp;"-"&amp;BA$6)</f>
        <v>0</v>
      </c>
      <c r="BB30" s="259">
        <f t="shared" si="27"/>
        <v>0.25</v>
      </c>
      <c r="BC30" s="24">
        <f t="shared" si="28"/>
        <v>0.75</v>
      </c>
      <c r="BD30" s="56">
        <f t="shared" si="29"/>
        <v>0</v>
      </c>
      <c r="BE30" s="259">
        <f t="shared" si="12"/>
        <v>0.11727081700009101</v>
      </c>
      <c r="BF30" s="24">
        <f t="shared" si="13"/>
        <v>0.2244051772452853</v>
      </c>
      <c r="BG30" s="56">
        <f t="shared" si="14"/>
        <v>0.10713436024519424</v>
      </c>
      <c r="BH30" s="50">
        <f t="shared" si="30"/>
        <v>434167</v>
      </c>
      <c r="BI30" s="41">
        <f>'Data By District'!AH231</f>
        <v>192112</v>
      </c>
      <c r="BJ30" s="41">
        <f>SUMIF('Data By District'!$C$7:$C$440,'Data By State'!$B30,'Data By District'!$AD$7:$AD$440)</f>
        <v>129326</v>
      </c>
      <c r="BK30" s="41">
        <f>SUMIF('Data By District'!$C$7:$C$440,'Data By State'!$B30,'Data By District'!$AE$7:$AE$440)</f>
        <v>0</v>
      </c>
      <c r="BL30" s="50">
        <f>SUMIF('Data By District'!$C$7:$C$440,'Data By State'!$B30,'Data By District'!$AF$7:$AF$440)</f>
        <v>67096</v>
      </c>
      <c r="BM30" s="64">
        <f t="shared" si="31"/>
        <v>0.30675146380447055</v>
      </c>
      <c r="BN30" s="24">
        <f t="shared" si="33"/>
        <v>0.56225273244237306</v>
      </c>
      <c r="BO30" s="24">
        <f t="shared" si="34"/>
        <v>0</v>
      </c>
      <c r="BP30" s="56">
        <f t="shared" si="35"/>
        <v>1</v>
      </c>
    </row>
    <row r="31" spans="1:68" ht="16.5" thickBot="1">
      <c r="A31" s="17" t="s">
        <v>88</v>
      </c>
      <c r="B31" s="26" t="s">
        <v>24</v>
      </c>
      <c r="C31" s="437">
        <v>1426303</v>
      </c>
      <c r="D31" s="437">
        <v>4487349</v>
      </c>
      <c r="E31" s="25">
        <f t="shared" si="0"/>
        <v>40</v>
      </c>
      <c r="F31" s="25">
        <f t="shared" si="1"/>
        <v>34</v>
      </c>
      <c r="G31" s="73">
        <f t="shared" si="18"/>
        <v>35</v>
      </c>
      <c r="H31" s="25">
        <f t="shared" si="19"/>
        <v>37</v>
      </c>
      <c r="I31" s="25">
        <f t="shared" si="20"/>
        <v>37</v>
      </c>
      <c r="J31" s="25">
        <f t="shared" si="21"/>
        <v>16</v>
      </c>
      <c r="K31" s="68">
        <f t="shared" si="22"/>
        <v>38</v>
      </c>
      <c r="L31" s="67">
        <f t="shared" si="2"/>
        <v>32.4</v>
      </c>
      <c r="M31" s="64">
        <f t="shared" si="23"/>
        <v>0.40924977817953112</v>
      </c>
      <c r="N31" s="419">
        <f>AVERAGEIF('Data By District'!$C$7:$C$441,B31,'Data By District'!$Y$7:$Y$441)</f>
        <v>0.35818822127431493</v>
      </c>
      <c r="O31" s="29">
        <f t="shared" si="3"/>
        <v>0.875</v>
      </c>
      <c r="P31" s="29">
        <f>SUMIF('Data By District'!$C$7:$C$440,B31,'Data By District'!$V$7:$V$440)/D31</f>
        <v>0.20780866386813238</v>
      </c>
      <c r="Q31" s="29">
        <f t="shared" si="4"/>
        <v>0.13618021556429452</v>
      </c>
      <c r="R31" s="70">
        <f t="shared" si="5"/>
        <v>0.31784980397111967</v>
      </c>
      <c r="S31" s="69">
        <f t="shared" si="6"/>
        <v>8</v>
      </c>
      <c r="T31" s="25">
        <f>COUNTIF('Data By District'!$AC$7:$AC$440,$B31&amp;"-"&amp;T$6)</f>
        <v>0</v>
      </c>
      <c r="U31" s="25">
        <f>COUNTIF('Data By District'!$AC$7:$AC$440,$B31&amp;"-"&amp;U$6)</f>
        <v>1</v>
      </c>
      <c r="V31" s="25">
        <f>COUNTIF('Data By District'!$AC$7:$AC$440,$B31&amp;"-"&amp;V$6)</f>
        <v>0</v>
      </c>
      <c r="W31" s="25">
        <f>COUNTIF('Data By District'!$AC$7:$AC$440,$B31&amp;"-"&amp;W$6)</f>
        <v>3</v>
      </c>
      <c r="X31" s="25">
        <f>COUNTIF('Data By District'!$AC$7:$AC$440,$B31&amp;"-"&amp;X$6)-(Y31)</f>
        <v>4</v>
      </c>
      <c r="Y31" s="25">
        <f>COUNTIF('Data By District'!$AA$7:$AA$440,$B31&amp;"-"&amp;"Yes")</f>
        <v>0</v>
      </c>
      <c r="Z31" s="348">
        <f t="shared" si="7"/>
        <v>0</v>
      </c>
      <c r="AA31" s="350">
        <f>COUNTIF('Data By District'!$M$7:$M$440, $B31&amp;"-"&amp;1)</f>
        <v>0</v>
      </c>
      <c r="AB31" s="331">
        <f>COUNTIFS('Data By District'!$K$7:$K$440,$B31&amp;"-"&amp;"Yes",'Data By District'!$AC$7:$AC$440,$B31&amp;"-"&amp;X$6)+COUNTIFS('Data By District'!$K$7:$K$440,$B31&amp;"-"&amp;"Yes",'Data By District'!$AC$7:$AC$440,$B31&amp;"-"&amp;W$6)</f>
        <v>7</v>
      </c>
      <c r="AC31" s="328">
        <f t="shared" si="32"/>
        <v>0.875</v>
      </c>
      <c r="AD31" s="332">
        <f>COUNTIF('Data By District'!$K$7:$K$440,$B31&amp;"-"&amp;"Yes")</f>
        <v>8</v>
      </c>
      <c r="AE31" s="332">
        <f t="shared" si="24"/>
        <v>0</v>
      </c>
      <c r="AF31" s="332">
        <f>COUNTIF('Data By District'!$J$7:$J$440,$B31&amp;"-"&amp;"Yes")</f>
        <v>8</v>
      </c>
      <c r="AG31" s="332">
        <f>COUNTIFS('Data By District'!$K$7:$K$440,$B31&amp;"-"&amp;"Yes",'Data By District'!$AB$7:$AB$440,$B31&amp;"-"&amp;"Dem")</f>
        <v>2</v>
      </c>
      <c r="AH31" s="332">
        <f>COUNTIFS('Data By District'!$K$7:$K$440,$B31&amp;"-"&amp;"Yes",'Data By District'!$AB$7:$AB$440,$B31&amp;"-"&amp;"Rep")</f>
        <v>6</v>
      </c>
      <c r="AI31" s="332">
        <f>COUNTIFS('Data By District'!$K$7:$K$440,$B31&amp;"-"&amp;"Yes",'Data By District'!$AB$7:$AB$440,$B31&amp;"-"&amp;"Dem",'Data By District'!$K$7:$K$440,$B31&amp;"-"&amp;"Yes",'Data By District'!$AC$7:$AC$440,$B31&amp;"-"&amp;W$6)+COUNTIFS('Data By District'!$K$7:$K$440,$B31&amp;"-"&amp;"Yes",'Data By District'!$AB$7:$AB$440,$B31&amp;"-"&amp;"Dem",'Data By District'!$K$7:$K$440,$B31&amp;"-"&amp;"Yes",'Data By District'!$AC$7:$AC$440,$B31&amp;"-"&amp;X$6)</f>
        <v>1</v>
      </c>
      <c r="AJ31" s="332">
        <f>COUNTIFS('Data By District'!$K$7:$K$440,$B31&amp;"-"&amp;"Yes",'Data By District'!$AB$7:$AB$440,$B31&amp;"-"&amp;"Rep",'Data By District'!$K$7:$K$440,$B31&amp;"-"&amp;"Yes",'Data By District'!$AC$7:$AC$440,$B31&amp;"-"&amp;W$6)+COUNTIFS('Data By District'!$K$7:$K$440,$B31&amp;"-"&amp;"Yes",'Data By District'!$AB$7:$AB$440,$B31&amp;"-"&amp;"Rep",'Data By District'!$K$7:$K$440,$B31&amp;"-"&amp;"Yes",'Data By District'!$AC$7:$AC$440,$B31&amp;"-"&amp;X$6)</f>
        <v>6</v>
      </c>
      <c r="AK31" s="331">
        <f>COUNTIF('Data By District'!$E$7:$E$440,$B31&amp;"-"&amp;"Yes")</f>
        <v>2</v>
      </c>
      <c r="AL31" s="332">
        <f>COUNTIF('Data By District'!$F$7:$F$440,$B31&amp;"-"&amp;"Yes")</f>
        <v>2</v>
      </c>
      <c r="AM31" s="332">
        <f>COUNTIF('Data By District'!$G$7:$G$440,$B31&amp;"-"&amp;"Yes")</f>
        <v>0</v>
      </c>
      <c r="AN31" s="332">
        <f>COUNTIF('Data By District'!$H$7:$H$440,$B31&amp;"-"&amp;"Yes")</f>
        <v>0</v>
      </c>
      <c r="AO31" s="332">
        <f>COUNTIF('Data By District'!$I$7:$I$440,$B31&amp;"-"&amp;"Yes")</f>
        <v>0</v>
      </c>
      <c r="AP31" s="70">
        <f t="shared" si="8"/>
        <v>0</v>
      </c>
      <c r="AQ31" s="55">
        <f t="shared" si="25"/>
        <v>0.53057379813405703</v>
      </c>
      <c r="AR31" s="50">
        <f t="shared" si="26"/>
        <v>1426303</v>
      </c>
      <c r="AS31" s="41">
        <f>SUMIF('Data By District'!$C$7:$C$440,$B31,'Data By District'!$O$7:$O$440)</f>
        <v>513600</v>
      </c>
      <c r="AT31" s="41">
        <f>SUMIF('Data By District'!$C$7:$C$440,$B31,'Data By District'!$Q$7:$Q$440)</f>
        <v>838283</v>
      </c>
      <c r="AU31" s="41">
        <f>SUMIF('Data By District'!$C$7:$C$440,$B31,'Data By District'!$S$7:$S$440)</f>
        <v>74420</v>
      </c>
      <c r="AV31" s="263">
        <f t="shared" si="9"/>
        <v>0.3600917897529487</v>
      </c>
      <c r="AW31" s="24">
        <f t="shared" si="10"/>
        <v>0.58773135862435966</v>
      </c>
      <c r="AX31" s="56">
        <f t="shared" si="11"/>
        <v>5.2176851622691672E-2</v>
      </c>
      <c r="AY31" s="25">
        <f>COUNTIF('Data By District'!$AB$7:$AB$440,$B31&amp;"-"&amp;AY$6)</f>
        <v>2</v>
      </c>
      <c r="AZ31" s="25">
        <f>COUNTIF('Data By District'!$AB$7:$AB$440,$B31&amp;"-"&amp;AZ$6)</f>
        <v>6</v>
      </c>
      <c r="BA31" s="25">
        <f>COUNTIF('Data By District'!$AB$7:$AB$440,$B31&amp;"-"&amp;BA$6)</f>
        <v>0</v>
      </c>
      <c r="BB31" s="259">
        <f t="shared" si="27"/>
        <v>0.25</v>
      </c>
      <c r="BC31" s="24">
        <f t="shared" si="28"/>
        <v>0.75</v>
      </c>
      <c r="BD31" s="56">
        <f t="shared" si="29"/>
        <v>0</v>
      </c>
      <c r="BE31" s="259">
        <f t="shared" si="12"/>
        <v>0.1100917897529487</v>
      </c>
      <c r="BF31" s="24">
        <f t="shared" si="13"/>
        <v>0.16226864137564034</v>
      </c>
      <c r="BG31" s="56">
        <f t="shared" si="14"/>
        <v>5.2176851622691672E-2</v>
      </c>
      <c r="BH31" s="50">
        <f t="shared" si="30"/>
        <v>756759</v>
      </c>
      <c r="BI31" s="41">
        <f>'Data By District'!AH240</f>
        <v>669544</v>
      </c>
      <c r="BJ31" s="41">
        <f>SUMIF('Data By District'!$C$7:$C$440,'Data By State'!$B31,'Data By District'!$AD$7:$AD$440)</f>
        <v>315029</v>
      </c>
      <c r="BK31" s="41">
        <f>SUMIF('Data By District'!$C$7:$C$440,'Data By State'!$B31,'Data By District'!$AE$7:$AE$440)</f>
        <v>104344</v>
      </c>
      <c r="BL31" s="50">
        <f>SUMIF('Data By District'!$C$7:$C$440,'Data By State'!$B31,'Data By District'!$AF$7:$AF$440)</f>
        <v>74420</v>
      </c>
      <c r="BM31" s="64">
        <f t="shared" si="31"/>
        <v>0.46942620186594292</v>
      </c>
      <c r="BN31" s="24">
        <f t="shared" si="33"/>
        <v>0.61337422118380058</v>
      </c>
      <c r="BO31" s="24">
        <f t="shared" si="34"/>
        <v>0.12447347733402682</v>
      </c>
      <c r="BP31" s="56">
        <f t="shared" si="35"/>
        <v>1</v>
      </c>
    </row>
    <row r="32" spans="1:68" ht="16.5" thickBot="1">
      <c r="A32" s="17" t="s">
        <v>89</v>
      </c>
      <c r="B32" s="26" t="s">
        <v>25</v>
      </c>
      <c r="C32" s="437">
        <v>369826</v>
      </c>
      <c r="D32" s="437">
        <v>790960</v>
      </c>
      <c r="E32" s="25">
        <f t="shared" si="0"/>
        <v>12</v>
      </c>
      <c r="F32" s="25">
        <f t="shared" si="1"/>
        <v>4</v>
      </c>
      <c r="G32" s="73">
        <f t="shared" si="18"/>
        <v>5</v>
      </c>
      <c r="H32" s="25">
        <f t="shared" si="19"/>
        <v>1</v>
      </c>
      <c r="I32" s="25">
        <f t="shared" si="20"/>
        <v>20</v>
      </c>
      <c r="J32" s="25">
        <f t="shared" si="21"/>
        <v>48</v>
      </c>
      <c r="K32" s="68">
        <f t="shared" si="22"/>
        <v>9</v>
      </c>
      <c r="L32" s="67">
        <f t="shared" si="2"/>
        <v>18.8</v>
      </c>
      <c r="M32" s="64">
        <f t="shared" si="23"/>
        <v>0.58810419131626601</v>
      </c>
      <c r="N32" s="419">
        <f>AVERAGEIF('Data By District'!$C$7:$C$441,B32,'Data By District'!$Y$7:$Y$441)</f>
        <v>0.14996344741183215</v>
      </c>
      <c r="O32" s="29">
        <f t="shared" si="3"/>
        <v>0</v>
      </c>
      <c r="P32" s="29">
        <f>SUMIF('Data By District'!$C$7:$C$440,B32,'Data By District'!$V$7:$V$440)/D32</f>
        <v>0.25775134014362294</v>
      </c>
      <c r="Q32" s="29">
        <f t="shared" si="4"/>
        <v>0.42501827629408395</v>
      </c>
      <c r="R32" s="70">
        <f t="shared" si="5"/>
        <v>0.46521063012036007</v>
      </c>
      <c r="S32" s="69">
        <f t="shared" si="6"/>
        <v>1</v>
      </c>
      <c r="T32" s="25">
        <f>COUNTIF('Data By District'!$AC$7:$AC$440,$B32&amp;"-"&amp;T$6)</f>
        <v>0</v>
      </c>
      <c r="U32" s="25">
        <f>COUNTIF('Data By District'!$AC$7:$AC$440,$B32&amp;"-"&amp;U$6)</f>
        <v>0</v>
      </c>
      <c r="V32" s="25">
        <f>COUNTIF('Data By District'!$AC$7:$AC$440,$B32&amp;"-"&amp;V$6)</f>
        <v>1</v>
      </c>
      <c r="W32" s="25">
        <f>COUNTIF('Data By District'!$AC$7:$AC$440,$B32&amp;"-"&amp;W$6)</f>
        <v>0</v>
      </c>
      <c r="X32" s="25">
        <f>COUNTIF('Data By District'!$AC$7:$AC$440,$B32&amp;"-"&amp;X$6)-(Y32)</f>
        <v>0</v>
      </c>
      <c r="Y32" s="25">
        <f>COUNTIF('Data By District'!$AA$7:$AA$440,$B32&amp;"-"&amp;"Yes")</f>
        <v>0</v>
      </c>
      <c r="Z32" s="348">
        <f t="shared" si="7"/>
        <v>0</v>
      </c>
      <c r="AA32" s="350">
        <f>COUNTIF('Data By District'!$M$7:$M$440, $B32&amp;"-"&amp;1)</f>
        <v>0</v>
      </c>
      <c r="AB32" s="331">
        <f>COUNTIFS('Data By District'!$K$7:$K$440,$B32&amp;"-"&amp;"Yes",'Data By District'!$AC$7:$AC$440,$B32&amp;"-"&amp;X$6)+COUNTIFS('Data By District'!$K$7:$K$440,$B32&amp;"-"&amp;"Yes",'Data By District'!$AC$7:$AC$440,$B32&amp;"-"&amp;W$6)</f>
        <v>0</v>
      </c>
      <c r="AC32" s="328" t="e">
        <f t="shared" si="32"/>
        <v>#DIV/0!</v>
      </c>
      <c r="AD32" s="332">
        <f>COUNTIF('Data By District'!$K$7:$K$440,$B32&amp;"-"&amp;"Yes")</f>
        <v>0</v>
      </c>
      <c r="AE32" s="332">
        <f t="shared" si="24"/>
        <v>0</v>
      </c>
      <c r="AF32" s="332">
        <f>COUNTIF('Data By District'!$J$7:$J$440,$B32&amp;"-"&amp;"Yes")</f>
        <v>0</v>
      </c>
      <c r="AG32" s="332">
        <f>COUNTIFS('Data By District'!$K$7:$K$440,$B32&amp;"-"&amp;"Yes",'Data By District'!$AB$7:$AB$440,$B32&amp;"-"&amp;"Dem")</f>
        <v>0</v>
      </c>
      <c r="AH32" s="332">
        <f>COUNTIFS('Data By District'!$K$7:$K$440,$B32&amp;"-"&amp;"Yes",'Data By District'!$AB$7:$AB$440,$B32&amp;"-"&amp;"Rep")</f>
        <v>0</v>
      </c>
      <c r="AI32" s="332">
        <f>COUNTIFS('Data By District'!$K$7:$K$440,$B32&amp;"-"&amp;"Yes",'Data By District'!$AB$7:$AB$440,$B32&amp;"-"&amp;"Dem",'Data By District'!$K$7:$K$440,$B32&amp;"-"&amp;"Yes",'Data By District'!$AC$7:$AC$440,$B32&amp;"-"&amp;W$6)+COUNTIFS('Data By District'!$K$7:$K$440,$B32&amp;"-"&amp;"Yes",'Data By District'!$AB$7:$AB$440,$B32&amp;"-"&amp;"Dem",'Data By District'!$K$7:$K$440,$B32&amp;"-"&amp;"Yes",'Data By District'!$AC$7:$AC$440,$B32&amp;"-"&amp;X$6)</f>
        <v>0</v>
      </c>
      <c r="AJ32" s="332">
        <f>COUNTIFS('Data By District'!$K$7:$K$440,$B32&amp;"-"&amp;"Yes",'Data By District'!$AB$7:$AB$440,$B32&amp;"-"&amp;"Rep",'Data By District'!$K$7:$K$440,$B32&amp;"-"&amp;"Yes",'Data By District'!$AC$7:$AC$440,$B32&amp;"-"&amp;W$6)+COUNTIFS('Data By District'!$K$7:$K$440,$B32&amp;"-"&amp;"Yes",'Data By District'!$AB$7:$AB$440,$B32&amp;"-"&amp;"Rep",'Data By District'!$K$7:$K$440,$B32&amp;"-"&amp;"Yes",'Data By District'!$AC$7:$AC$440,$B32&amp;"-"&amp;X$6)</f>
        <v>0</v>
      </c>
      <c r="AK32" s="331">
        <f>COUNTIF('Data By District'!$E$7:$E$440,$B32&amp;"-"&amp;"Yes")</f>
        <v>0</v>
      </c>
      <c r="AL32" s="332">
        <f>COUNTIF('Data By District'!$F$7:$F$440,$B32&amp;"-"&amp;"Yes")</f>
        <v>0</v>
      </c>
      <c r="AM32" s="332">
        <f>COUNTIF('Data By District'!$G$7:$G$440,$B32&amp;"-"&amp;"Yes")</f>
        <v>0</v>
      </c>
      <c r="AN32" s="332">
        <f>COUNTIF('Data By District'!$H$7:$H$440,$B32&amp;"-"&amp;"Yes")</f>
        <v>0</v>
      </c>
      <c r="AO32" s="332">
        <f>COUNTIF('Data By District'!$I$7:$I$440,$B32&amp;"-"&amp;"Yes")</f>
        <v>0</v>
      </c>
      <c r="AP32" s="70">
        <f t="shared" si="8"/>
        <v>5.03750412356081E-3</v>
      </c>
      <c r="AQ32" s="55">
        <f t="shared" si="25"/>
        <v>0.76307944005239658</v>
      </c>
      <c r="AR32" s="50">
        <f t="shared" si="26"/>
        <v>367963</v>
      </c>
      <c r="AS32" s="41">
        <f>SUMIF('Data By District'!$C$7:$C$440,$B32,'Data By District'!$O$7:$O$440)</f>
        <v>148690</v>
      </c>
      <c r="AT32" s="41">
        <f>SUMIF('Data By District'!$C$7:$C$440,$B32,'Data By District'!$Q$7:$Q$440)</f>
        <v>203871</v>
      </c>
      <c r="AU32" s="41">
        <f>SUMIF('Data By District'!$C$7:$C$440,$B32,'Data By District'!$S$7:$S$440)</f>
        <v>15402</v>
      </c>
      <c r="AV32" s="263">
        <f t="shared" si="9"/>
        <v>0.40408954161152072</v>
      </c>
      <c r="AW32" s="24">
        <f t="shared" si="10"/>
        <v>0.55405298902335287</v>
      </c>
      <c r="AX32" s="56">
        <f t="shared" si="11"/>
        <v>4.1857469365126382E-2</v>
      </c>
      <c r="AY32" s="25">
        <f>COUNTIF('Data By District'!$AB$7:$AB$440,$B32&amp;"-"&amp;AY$6)</f>
        <v>0</v>
      </c>
      <c r="AZ32" s="25">
        <f>COUNTIF('Data By District'!$AB$7:$AB$440,$B32&amp;"-"&amp;AZ$6)</f>
        <v>1</v>
      </c>
      <c r="BA32" s="25">
        <f>COUNTIF('Data By District'!$AB$7:$AB$440,$B32&amp;"-"&amp;BA$6)</f>
        <v>0</v>
      </c>
      <c r="BB32" s="259">
        <f t="shared" si="27"/>
        <v>0</v>
      </c>
      <c r="BC32" s="24">
        <f t="shared" si="28"/>
        <v>1</v>
      </c>
      <c r="BD32" s="56">
        <f t="shared" si="29"/>
        <v>0</v>
      </c>
      <c r="BE32" s="259">
        <f t="shared" si="12"/>
        <v>0.40408954161152072</v>
      </c>
      <c r="BF32" s="24">
        <f t="shared" si="13"/>
        <v>0.44594701097664713</v>
      </c>
      <c r="BG32" s="56">
        <f t="shared" si="14"/>
        <v>4.1857469365126382E-2</v>
      </c>
      <c r="BH32" s="50">
        <f t="shared" si="30"/>
        <v>280785</v>
      </c>
      <c r="BI32" s="41">
        <f>'Data By District'!AH241</f>
        <v>87178</v>
      </c>
      <c r="BJ32" s="41">
        <f>SUMIF('Data By District'!$C$7:$C$440,'Data By State'!$B32,'Data By District'!$AD$7:$AD$440)</f>
        <v>148690</v>
      </c>
      <c r="BK32" s="41">
        <f>SUMIF('Data By District'!$C$7:$C$440,'Data By State'!$B32,'Data By District'!$AE$7:$AE$440)</f>
        <v>0</v>
      </c>
      <c r="BL32" s="50">
        <f>SUMIF('Data By District'!$C$7:$C$440,'Data By State'!$B32,'Data By District'!$AF$7:$AF$440)</f>
        <v>15402</v>
      </c>
      <c r="BM32" s="64">
        <f t="shared" si="31"/>
        <v>0.23692055994760342</v>
      </c>
      <c r="BN32" s="24">
        <f t="shared" si="33"/>
        <v>1</v>
      </c>
      <c r="BO32" s="24">
        <f t="shared" si="34"/>
        <v>0</v>
      </c>
      <c r="BP32" s="56">
        <f t="shared" si="35"/>
        <v>1</v>
      </c>
    </row>
    <row r="33" spans="1:68" ht="16.5" thickBot="1">
      <c r="A33" s="17" t="s">
        <v>90</v>
      </c>
      <c r="B33" s="26" t="s">
        <v>26</v>
      </c>
      <c r="C33" s="437">
        <v>539891</v>
      </c>
      <c r="D33" s="437">
        <v>1330551</v>
      </c>
      <c r="E33" s="25">
        <f t="shared" si="0"/>
        <v>8</v>
      </c>
      <c r="F33" s="25">
        <f t="shared" si="1"/>
        <v>12</v>
      </c>
      <c r="G33" s="73">
        <f t="shared" si="18"/>
        <v>27</v>
      </c>
      <c r="H33" s="25">
        <f t="shared" si="19"/>
        <v>19</v>
      </c>
      <c r="I33" s="25">
        <f t="shared" si="20"/>
        <v>15</v>
      </c>
      <c r="J33" s="25">
        <f t="shared" si="21"/>
        <v>3</v>
      </c>
      <c r="K33" s="68">
        <f t="shared" si="22"/>
        <v>20</v>
      </c>
      <c r="L33" s="67">
        <f t="shared" si="2"/>
        <v>15.8</v>
      </c>
      <c r="M33" s="64">
        <f t="shared" si="23"/>
        <v>0.50542194755759395</v>
      </c>
      <c r="N33" s="419">
        <f>AVERAGEIF('Data By District'!$C$7:$C$441,B33,'Data By District'!$Y$7:$Y$441)</f>
        <v>0.30582482673277656</v>
      </c>
      <c r="O33" s="29">
        <f t="shared" si="3"/>
        <v>0.66666666666666663</v>
      </c>
      <c r="P33" s="29">
        <f>SUMIF('Data By District'!$C$7:$C$440,B33,'Data By District'!$V$7:$V$440)/D33</f>
        <v>0.26044172677334426</v>
      </c>
      <c r="Q33" s="29">
        <f t="shared" si="4"/>
        <v>2.128222235927571E-2</v>
      </c>
      <c r="R33" s="70">
        <f t="shared" si="5"/>
        <v>0.40214242069638817</v>
      </c>
      <c r="S33" s="69">
        <f t="shared" si="6"/>
        <v>3</v>
      </c>
      <c r="T33" s="25">
        <f>COUNTIF('Data By District'!$AC$7:$AC$440,$B33&amp;"-"&amp;T$6)</f>
        <v>1</v>
      </c>
      <c r="U33" s="25">
        <f>COUNTIF('Data By District'!$AC$7:$AC$440,$B33&amp;"-"&amp;U$6)</f>
        <v>0</v>
      </c>
      <c r="V33" s="25">
        <f>COUNTIF('Data By District'!$AC$7:$AC$440,$B33&amp;"-"&amp;V$6)</f>
        <v>0</v>
      </c>
      <c r="W33" s="25">
        <f>COUNTIF('Data By District'!$AC$7:$AC$440,$B33&amp;"-"&amp;W$6)</f>
        <v>1</v>
      </c>
      <c r="X33" s="25">
        <f>COUNTIF('Data By District'!$AC$7:$AC$440,$B33&amp;"-"&amp;X$6)-(Y33)</f>
        <v>1</v>
      </c>
      <c r="Y33" s="25">
        <f>COUNTIF('Data By District'!$AA$7:$AA$440,$B33&amp;"-"&amp;"Yes")</f>
        <v>0</v>
      </c>
      <c r="Z33" s="348">
        <f t="shared" si="7"/>
        <v>0</v>
      </c>
      <c r="AA33" s="350">
        <f>COUNTIF('Data By District'!$M$7:$M$440, $B33&amp;"-"&amp;1)</f>
        <v>0</v>
      </c>
      <c r="AB33" s="331">
        <f>COUNTIFS('Data By District'!$K$7:$K$440,$B33&amp;"-"&amp;"Yes",'Data By District'!$AC$7:$AC$440,$B33&amp;"-"&amp;X$6)+COUNTIFS('Data By District'!$K$7:$K$440,$B33&amp;"-"&amp;"Yes",'Data By District'!$AC$7:$AC$440,$B33&amp;"-"&amp;W$6)</f>
        <v>2</v>
      </c>
      <c r="AC33" s="328">
        <f t="shared" si="32"/>
        <v>1</v>
      </c>
      <c r="AD33" s="332">
        <f>COUNTIF('Data By District'!$K$7:$K$440,$B33&amp;"-"&amp;"Yes")</f>
        <v>2</v>
      </c>
      <c r="AE33" s="332">
        <f t="shared" si="24"/>
        <v>1</v>
      </c>
      <c r="AF33" s="332">
        <f>COUNTIF('Data By District'!$J$7:$J$440,$B33&amp;"-"&amp;"Yes")</f>
        <v>3</v>
      </c>
      <c r="AG33" s="332">
        <f>COUNTIFS('Data By District'!$K$7:$K$440,$B33&amp;"-"&amp;"Yes",'Data By District'!$AB$7:$AB$440,$B33&amp;"-"&amp;"Dem")</f>
        <v>0</v>
      </c>
      <c r="AH33" s="332">
        <f>COUNTIFS('Data By District'!$K$7:$K$440,$B33&amp;"-"&amp;"Yes",'Data By District'!$AB$7:$AB$440,$B33&amp;"-"&amp;"Rep")</f>
        <v>2</v>
      </c>
      <c r="AI33" s="332">
        <f>COUNTIFS('Data By District'!$K$7:$K$440,$B33&amp;"-"&amp;"Yes",'Data By District'!$AB$7:$AB$440,$B33&amp;"-"&amp;"Dem",'Data By District'!$K$7:$K$440,$B33&amp;"-"&amp;"Yes",'Data By District'!$AC$7:$AC$440,$B33&amp;"-"&amp;W$6)+COUNTIFS('Data By District'!$K$7:$K$440,$B33&amp;"-"&amp;"Yes",'Data By District'!$AB$7:$AB$440,$B33&amp;"-"&amp;"Dem",'Data By District'!$K$7:$K$440,$B33&amp;"-"&amp;"Yes",'Data By District'!$AC$7:$AC$440,$B33&amp;"-"&amp;X$6)</f>
        <v>0</v>
      </c>
      <c r="AJ33" s="332">
        <f>COUNTIFS('Data By District'!$K$7:$K$440,$B33&amp;"-"&amp;"Yes",'Data By District'!$AB$7:$AB$440,$B33&amp;"-"&amp;"Rep",'Data By District'!$K$7:$K$440,$B33&amp;"-"&amp;"Yes",'Data By District'!$AC$7:$AC$440,$B33&amp;"-"&amp;W$6)+COUNTIFS('Data By District'!$K$7:$K$440,$B33&amp;"-"&amp;"Yes",'Data By District'!$AB$7:$AB$440,$B33&amp;"-"&amp;"Rep",'Data By District'!$K$7:$K$440,$B33&amp;"-"&amp;"Yes",'Data By District'!$AC$7:$AC$440,$B33&amp;"-"&amp;X$6)</f>
        <v>2</v>
      </c>
      <c r="AK33" s="331">
        <f>COUNTIF('Data By District'!$E$7:$E$440,$B33&amp;"-"&amp;"Yes")</f>
        <v>0</v>
      </c>
      <c r="AL33" s="332">
        <f>COUNTIF('Data By District'!$F$7:$F$440,$B33&amp;"-"&amp;"Yes")</f>
        <v>0</v>
      </c>
      <c r="AM33" s="332">
        <f>COUNTIF('Data By District'!$G$7:$G$440,$B33&amp;"-"&amp;"Yes")</f>
        <v>0</v>
      </c>
      <c r="AN33" s="332">
        <f>COUNTIF('Data By District'!$H$7:$H$440,$B33&amp;"-"&amp;"Yes")</f>
        <v>0</v>
      </c>
      <c r="AO33" s="332">
        <f>COUNTIF('Data By District'!$I$7:$I$440,$B33&amp;"-"&amp;"Yes")</f>
        <v>0</v>
      </c>
      <c r="AP33" s="70">
        <f t="shared" si="8"/>
        <v>8.9277280043564347E-3</v>
      </c>
      <c r="AQ33" s="55">
        <f t="shared" si="25"/>
        <v>0.73089926383601433</v>
      </c>
      <c r="AR33" s="50">
        <f t="shared" si="26"/>
        <v>535071</v>
      </c>
      <c r="AS33" s="41">
        <f>SUMIF('Data By District'!$C$7:$C$440,$B33,'Data By District'!$O$7:$O$440)</f>
        <v>185234</v>
      </c>
      <c r="AT33" s="41">
        <f>SUMIF('Data By District'!$C$7:$C$440,$B33,'Data By District'!$Q$7:$Q$440)</f>
        <v>340816</v>
      </c>
      <c r="AU33" s="41">
        <f>SUMIF('Data By District'!$C$7:$C$440,$B33,'Data By District'!$S$7:$S$440)</f>
        <v>9021</v>
      </c>
      <c r="AV33" s="263">
        <f t="shared" si="9"/>
        <v>0.3461858332819383</v>
      </c>
      <c r="AW33" s="24">
        <f t="shared" si="10"/>
        <v>0.6369547218967202</v>
      </c>
      <c r="AX33" s="56">
        <f t="shared" si="11"/>
        <v>1.6859444821341468E-2</v>
      </c>
      <c r="AY33" s="25">
        <f>COUNTIF('Data By District'!$AB$7:$AB$440,$B33&amp;"-"&amp;AY$6)</f>
        <v>1</v>
      </c>
      <c r="AZ33" s="25">
        <f>COUNTIF('Data By District'!$AB$7:$AB$440,$B33&amp;"-"&amp;AZ$6)</f>
        <v>2</v>
      </c>
      <c r="BA33" s="25">
        <f>COUNTIF('Data By District'!$AB$7:$AB$440,$B33&amp;"-"&amp;BA$6)</f>
        <v>0</v>
      </c>
      <c r="BB33" s="259">
        <f t="shared" si="27"/>
        <v>0.33333333333333331</v>
      </c>
      <c r="BC33" s="24">
        <f t="shared" si="28"/>
        <v>0.66666666666666663</v>
      </c>
      <c r="BD33" s="56">
        <f t="shared" si="29"/>
        <v>0</v>
      </c>
      <c r="BE33" s="259">
        <f t="shared" si="12"/>
        <v>1.285249994860499E-2</v>
      </c>
      <c r="BF33" s="24">
        <f t="shared" si="13"/>
        <v>2.971194476994643E-2</v>
      </c>
      <c r="BG33" s="56">
        <f t="shared" si="14"/>
        <v>1.6859444821341468E-2</v>
      </c>
      <c r="BH33" s="50">
        <f t="shared" si="30"/>
        <v>391083</v>
      </c>
      <c r="BI33" s="41">
        <f>'Data By District'!AH244</f>
        <v>143988</v>
      </c>
      <c r="BJ33" s="41">
        <f>SUMIF('Data By District'!$C$7:$C$440,'Data By State'!$B33,'Data By District'!$AD$7:$AD$440)</f>
        <v>101362</v>
      </c>
      <c r="BK33" s="41">
        <f>SUMIF('Data By District'!$C$7:$C$440,'Data By State'!$B33,'Data By District'!$AE$7:$AE$440)</f>
        <v>78157</v>
      </c>
      <c r="BL33" s="50">
        <f>SUMIF('Data By District'!$C$7:$C$440,'Data By State'!$B33,'Data By District'!$AF$7:$AF$440)</f>
        <v>9021</v>
      </c>
      <c r="BM33" s="64">
        <f t="shared" si="31"/>
        <v>0.26910073616398572</v>
      </c>
      <c r="BN33" s="24">
        <f t="shared" si="33"/>
        <v>0.54721055529762352</v>
      </c>
      <c r="BO33" s="24">
        <f t="shared" si="34"/>
        <v>0.22932315384254259</v>
      </c>
      <c r="BP33" s="56">
        <f t="shared" si="35"/>
        <v>1</v>
      </c>
    </row>
    <row r="34" spans="1:68" ht="16.5" thickBot="1">
      <c r="A34" s="17" t="s">
        <v>91</v>
      </c>
      <c r="B34" s="26" t="s">
        <v>27</v>
      </c>
      <c r="C34" s="437">
        <v>547349</v>
      </c>
      <c r="D34" s="437">
        <v>1886848</v>
      </c>
      <c r="E34" s="25">
        <f t="shared" si="0"/>
        <v>28</v>
      </c>
      <c r="F34" s="25">
        <f t="shared" si="1"/>
        <v>15</v>
      </c>
      <c r="G34" s="73">
        <f t="shared" si="18"/>
        <v>11</v>
      </c>
      <c r="H34" s="25">
        <f t="shared" si="19"/>
        <v>9</v>
      </c>
      <c r="I34" s="25">
        <f t="shared" si="20"/>
        <v>48</v>
      </c>
      <c r="J34" s="25">
        <f t="shared" si="21"/>
        <v>23</v>
      </c>
      <c r="K34" s="68">
        <f t="shared" si="22"/>
        <v>44</v>
      </c>
      <c r="L34" s="67">
        <f t="shared" si="2"/>
        <v>27.8</v>
      </c>
      <c r="M34" s="64">
        <f t="shared" si="23"/>
        <v>0.49319869861438914</v>
      </c>
      <c r="N34" s="419">
        <f>AVERAGEIF('Data By District'!$C$7:$C$441,B34,'Data By District'!$Y$7:$Y$441)</f>
        <v>0.21040216110120119</v>
      </c>
      <c r="O34" s="29">
        <f t="shared" si="3"/>
        <v>0.5</v>
      </c>
      <c r="P34" s="29">
        <f>SUMIF('Data By District'!$C$7:$C$440,B34,'Data By District'!$V$7:$V$440)/D34</f>
        <v>0.16961567651448342</v>
      </c>
      <c r="Q34" s="29">
        <f t="shared" si="4"/>
        <v>0.16283569885582005</v>
      </c>
      <c r="R34" s="70">
        <f t="shared" si="5"/>
        <v>0.28778629757139951</v>
      </c>
      <c r="S34" s="69">
        <f t="shared" si="6"/>
        <v>4</v>
      </c>
      <c r="T34" s="25">
        <f>COUNTIF('Data By District'!$AC$7:$AC$440,$B34&amp;"-"&amp;T$6)</f>
        <v>1</v>
      </c>
      <c r="U34" s="25">
        <f>COUNTIF('Data By District'!$AC$7:$AC$440,$B34&amp;"-"&amp;U$6)</f>
        <v>0</v>
      </c>
      <c r="V34" s="25">
        <f>COUNTIF('Data By District'!$AC$7:$AC$440,$B34&amp;"-"&amp;V$6)</f>
        <v>1</v>
      </c>
      <c r="W34" s="25">
        <f>COUNTIF('Data By District'!$AC$7:$AC$440,$B34&amp;"-"&amp;W$6)</f>
        <v>2</v>
      </c>
      <c r="X34" s="25">
        <f>COUNTIF('Data By District'!$AC$7:$AC$440,$B34&amp;"-"&amp;X$6)-(Y34)</f>
        <v>0</v>
      </c>
      <c r="Y34" s="25">
        <f>COUNTIF('Data By District'!$AA$7:$AA$440,$B34&amp;"-"&amp;"Yes")</f>
        <v>0</v>
      </c>
      <c r="Z34" s="348">
        <f t="shared" si="7"/>
        <v>0</v>
      </c>
      <c r="AA34" s="350">
        <f>COUNTIF('Data By District'!$M$7:$M$440, $B34&amp;"-"&amp;1)</f>
        <v>0</v>
      </c>
      <c r="AB34" s="331">
        <f>COUNTIFS('Data By District'!$K$7:$K$440,$B34&amp;"-"&amp;"Yes",'Data By District'!$AC$7:$AC$440,$B34&amp;"-"&amp;X$6)+COUNTIFS('Data By District'!$K$7:$K$440,$B34&amp;"-"&amp;"Yes",'Data By District'!$AC$7:$AC$440,$B34&amp;"-"&amp;W$6)</f>
        <v>2</v>
      </c>
      <c r="AC34" s="328">
        <f t="shared" si="32"/>
        <v>0.66666666666666663</v>
      </c>
      <c r="AD34" s="332">
        <f>COUNTIF('Data By District'!$K$7:$K$440,$B34&amp;"-"&amp;"Yes")</f>
        <v>3</v>
      </c>
      <c r="AE34" s="332">
        <f t="shared" si="24"/>
        <v>1</v>
      </c>
      <c r="AF34" s="332">
        <f>COUNTIF('Data By District'!$J$7:$J$440,$B34&amp;"-"&amp;"Yes")</f>
        <v>4</v>
      </c>
      <c r="AG34" s="332">
        <f>COUNTIFS('Data By District'!$K$7:$K$440,$B34&amp;"-"&amp;"Yes",'Data By District'!$AB$7:$AB$440,$B34&amp;"-"&amp;"Dem")</f>
        <v>1</v>
      </c>
      <c r="AH34" s="332">
        <f>COUNTIFS('Data By District'!$K$7:$K$440,$B34&amp;"-"&amp;"Yes",'Data By District'!$AB$7:$AB$440,$B34&amp;"-"&amp;"Rep")</f>
        <v>2</v>
      </c>
      <c r="AI34" s="332">
        <f>COUNTIFS('Data By District'!$K$7:$K$440,$B34&amp;"-"&amp;"Yes",'Data By District'!$AB$7:$AB$440,$B34&amp;"-"&amp;"Dem",'Data By District'!$K$7:$K$440,$B34&amp;"-"&amp;"Yes",'Data By District'!$AC$7:$AC$440,$B34&amp;"-"&amp;W$6)+COUNTIFS('Data By District'!$K$7:$K$440,$B34&amp;"-"&amp;"Yes",'Data By District'!$AB$7:$AB$440,$B34&amp;"-"&amp;"Dem",'Data By District'!$K$7:$K$440,$B34&amp;"-"&amp;"Yes",'Data By District'!$AC$7:$AC$440,$B34&amp;"-"&amp;X$6)</f>
        <v>0</v>
      </c>
      <c r="AJ34" s="332">
        <f>COUNTIFS('Data By District'!$K$7:$K$440,$B34&amp;"-"&amp;"Yes",'Data By District'!$AB$7:$AB$440,$B34&amp;"-"&amp;"Rep",'Data By District'!$K$7:$K$440,$B34&amp;"-"&amp;"Yes",'Data By District'!$AC$7:$AC$440,$B34&amp;"-"&amp;W$6)+COUNTIFS('Data By District'!$K$7:$K$440,$B34&amp;"-"&amp;"Yes",'Data By District'!$AB$7:$AB$440,$B34&amp;"-"&amp;"Rep",'Data By District'!$K$7:$K$440,$B34&amp;"-"&amp;"Yes",'Data By District'!$AC$7:$AC$440,$B34&amp;"-"&amp;X$6)</f>
        <v>2</v>
      </c>
      <c r="AK34" s="331">
        <f>COUNTIF('Data By District'!$E$7:$E$440,$B34&amp;"-"&amp;"Yes")</f>
        <v>1</v>
      </c>
      <c r="AL34" s="332">
        <f>COUNTIF('Data By District'!$F$7:$F$440,$B34&amp;"-"&amp;"Yes")</f>
        <v>0</v>
      </c>
      <c r="AM34" s="332">
        <f>COUNTIF('Data By District'!$G$7:$G$440,$B34&amp;"-"&amp;"Yes")</f>
        <v>0</v>
      </c>
      <c r="AN34" s="332">
        <f>COUNTIF('Data By District'!$H$7:$H$440,$B34&amp;"-"&amp;"Yes")</f>
        <v>0</v>
      </c>
      <c r="AO34" s="332">
        <f>COUNTIF('Data By District'!$I$7:$I$440,$B34&amp;"-"&amp;"Yes")</f>
        <v>0</v>
      </c>
      <c r="AP34" s="70">
        <f t="shared" si="8"/>
        <v>7.9291274853886644E-3</v>
      </c>
      <c r="AQ34" s="55">
        <f t="shared" si="25"/>
        <v>0.55482505814820748</v>
      </c>
      <c r="AR34" s="50">
        <f t="shared" si="26"/>
        <v>543009</v>
      </c>
      <c r="AS34" s="41">
        <f>SUMIF('Data By District'!$C$7:$C$440,$B34,'Data By District'!$O$7:$O$440)</f>
        <v>210147</v>
      </c>
      <c r="AT34" s="41">
        <f>SUMIF('Data By District'!$C$7:$C$440,$B34,'Data By District'!$Q$7:$Q$440)</f>
        <v>304809</v>
      </c>
      <c r="AU34" s="41">
        <f>SUMIF('Data By District'!$C$7:$C$440,$B34,'Data By District'!$S$7:$S$440)</f>
        <v>28053</v>
      </c>
      <c r="AV34" s="263">
        <f t="shared" si="9"/>
        <v>0.38700463528228812</v>
      </c>
      <c r="AW34" s="24">
        <f t="shared" si="10"/>
        <v>0.56133323757064801</v>
      </c>
      <c r="AX34" s="56">
        <f t="shared" si="11"/>
        <v>5.1662127147063863E-2</v>
      </c>
      <c r="AY34" s="25">
        <f>COUNTIF('Data By District'!$AB$7:$AB$440,$B34&amp;"-"&amp;AY$6)</f>
        <v>1</v>
      </c>
      <c r="AZ34" s="25">
        <f>COUNTIF('Data By District'!$AB$7:$AB$440,$B34&amp;"-"&amp;AZ$6)</f>
        <v>3</v>
      </c>
      <c r="BA34" s="25">
        <f>COUNTIF('Data By District'!$AB$7:$AB$440,$B34&amp;"-"&amp;BA$6)</f>
        <v>0</v>
      </c>
      <c r="BB34" s="259">
        <f t="shared" si="27"/>
        <v>0.25</v>
      </c>
      <c r="BC34" s="24">
        <f t="shared" si="28"/>
        <v>0.75</v>
      </c>
      <c r="BD34" s="56">
        <f t="shared" si="29"/>
        <v>0</v>
      </c>
      <c r="BE34" s="259">
        <f t="shared" si="12"/>
        <v>0.13700463528228812</v>
      </c>
      <c r="BF34" s="24">
        <f t="shared" si="13"/>
        <v>0.18866676242935199</v>
      </c>
      <c r="BG34" s="56">
        <f t="shared" si="14"/>
        <v>5.1662127147063863E-2</v>
      </c>
      <c r="BH34" s="50">
        <f t="shared" si="30"/>
        <v>301275</v>
      </c>
      <c r="BI34" s="41">
        <f>'Data By District'!AH247</f>
        <v>241734</v>
      </c>
      <c r="BJ34" s="41">
        <f>SUMIF('Data By District'!$C$7:$C$440,'Data By State'!$B34,'Data By District'!$AD$7:$AD$440)</f>
        <v>164504</v>
      </c>
      <c r="BK34" s="41">
        <f>SUMIF('Data By District'!$C$7:$C$440,'Data By State'!$B34,'Data By District'!$AE$7:$AE$440)</f>
        <v>30413</v>
      </c>
      <c r="BL34" s="50">
        <f>SUMIF('Data By District'!$C$7:$C$440,'Data By State'!$B34,'Data By District'!$AF$7:$AF$440)</f>
        <v>28053</v>
      </c>
      <c r="BM34" s="64">
        <f t="shared" si="31"/>
        <v>0.44517494185179252</v>
      </c>
      <c r="BN34" s="24">
        <f t="shared" si="33"/>
        <v>0.78280441785987909</v>
      </c>
      <c r="BO34" s="24">
        <f t="shared" si="34"/>
        <v>9.9777237548760042E-2</v>
      </c>
      <c r="BP34" s="56">
        <f t="shared" si="35"/>
        <v>1</v>
      </c>
    </row>
    <row r="35" spans="1:68" ht="16.5" thickBot="1">
      <c r="A35" s="17" t="s">
        <v>92</v>
      </c>
      <c r="B35" s="26" t="s">
        <v>28</v>
      </c>
      <c r="C35" s="437">
        <v>488159</v>
      </c>
      <c r="D35" s="437">
        <v>1024678</v>
      </c>
      <c r="E35" s="25">
        <f t="shared" si="0"/>
        <v>4</v>
      </c>
      <c r="F35" s="25">
        <f t="shared" si="1"/>
        <v>1</v>
      </c>
      <c r="G35" s="73">
        <f t="shared" si="18"/>
        <v>1</v>
      </c>
      <c r="H35" s="25">
        <f t="shared" si="19"/>
        <v>1</v>
      </c>
      <c r="I35" s="25">
        <f t="shared" si="20"/>
        <v>22</v>
      </c>
      <c r="J35" s="25">
        <f t="shared" si="21"/>
        <v>2</v>
      </c>
      <c r="K35" s="68">
        <f t="shared" si="22"/>
        <v>8</v>
      </c>
      <c r="L35" s="67">
        <f t="shared" si="2"/>
        <v>9.6</v>
      </c>
      <c r="M35" s="64">
        <f t="shared" si="23"/>
        <v>0.68326713372585801</v>
      </c>
      <c r="N35" s="419">
        <f>AVERAGEIF('Data By District'!$C$7:$C$441,B35,'Data By District'!$Y$7:$Y$441)</f>
        <v>6.8015944799001943E-2</v>
      </c>
      <c r="O35" s="29">
        <f t="shared" si="3"/>
        <v>0</v>
      </c>
      <c r="P35" s="29">
        <f>SUMIF('Data By District'!$C$7:$C$440,B35,'Data By District'!$V$7:$V$440)/D35</f>
        <v>0.25001707853589128</v>
      </c>
      <c r="Q35" s="29">
        <f t="shared" si="4"/>
        <v>1.5682543643490643E-2</v>
      </c>
      <c r="R35" s="70">
        <f t="shared" si="5"/>
        <v>0.46930352754719046</v>
      </c>
      <c r="S35" s="69">
        <f t="shared" si="6"/>
        <v>2</v>
      </c>
      <c r="T35" s="25">
        <f>COUNTIF('Data By District'!$AC$7:$AC$440,$B35&amp;"-"&amp;T$6)</f>
        <v>1</v>
      </c>
      <c r="U35" s="25">
        <f>COUNTIF('Data By District'!$AC$7:$AC$440,$B35&amp;"-"&amp;U$6)</f>
        <v>0</v>
      </c>
      <c r="V35" s="25">
        <f>COUNTIF('Data By District'!$AC$7:$AC$440,$B35&amp;"-"&amp;V$6)</f>
        <v>1</v>
      </c>
      <c r="W35" s="25">
        <f>COUNTIF('Data By District'!$AC$7:$AC$440,$B35&amp;"-"&amp;W$6)</f>
        <v>0</v>
      </c>
      <c r="X35" s="25">
        <f>COUNTIF('Data By District'!$AC$7:$AC$440,$B35&amp;"-"&amp;X$6)-(Y35)</f>
        <v>0</v>
      </c>
      <c r="Y35" s="25">
        <f>COUNTIF('Data By District'!$AA$7:$AA$440,$B35&amp;"-"&amp;"Yes")</f>
        <v>0</v>
      </c>
      <c r="Z35" s="348">
        <f t="shared" si="7"/>
        <v>0</v>
      </c>
      <c r="AA35" s="350">
        <f>COUNTIF('Data By District'!$M$7:$M$440, $B35&amp;"-"&amp;1)</f>
        <v>0</v>
      </c>
      <c r="AB35" s="331">
        <f>COUNTIFS('Data By District'!$K$7:$K$440,$B35&amp;"-"&amp;"Yes",'Data By District'!$AC$7:$AC$440,$B35&amp;"-"&amp;X$6)+COUNTIFS('Data By District'!$K$7:$K$440,$B35&amp;"-"&amp;"Yes",'Data By District'!$AC$7:$AC$440,$B35&amp;"-"&amp;W$6)</f>
        <v>0</v>
      </c>
      <c r="AC35" s="328">
        <f t="shared" si="32"/>
        <v>0</v>
      </c>
      <c r="AD35" s="332">
        <f>COUNTIF('Data By District'!$K$7:$K$440,$B35&amp;"-"&amp;"Yes")</f>
        <v>1</v>
      </c>
      <c r="AE35" s="332">
        <f t="shared" si="24"/>
        <v>1</v>
      </c>
      <c r="AF35" s="332">
        <f>COUNTIF('Data By District'!$J$7:$J$440,$B35&amp;"-"&amp;"Yes")</f>
        <v>2</v>
      </c>
      <c r="AG35" s="332">
        <f>COUNTIFS('Data By District'!$K$7:$K$440,$B35&amp;"-"&amp;"Yes",'Data By District'!$AB$7:$AB$440,$B35&amp;"-"&amp;"Dem")</f>
        <v>1</v>
      </c>
      <c r="AH35" s="332">
        <f>COUNTIFS('Data By District'!$K$7:$K$440,$B35&amp;"-"&amp;"Yes",'Data By District'!$AB$7:$AB$440,$B35&amp;"-"&amp;"Rep")</f>
        <v>0</v>
      </c>
      <c r="AI35" s="332">
        <f>COUNTIFS('Data By District'!$K$7:$K$440,$B35&amp;"-"&amp;"Yes",'Data By District'!$AB$7:$AB$440,$B35&amp;"-"&amp;"Dem",'Data By District'!$K$7:$K$440,$B35&amp;"-"&amp;"Yes",'Data By District'!$AC$7:$AC$440,$B35&amp;"-"&amp;W$6)+COUNTIFS('Data By District'!$K$7:$K$440,$B35&amp;"-"&amp;"Yes",'Data By District'!$AB$7:$AB$440,$B35&amp;"-"&amp;"Dem",'Data By District'!$K$7:$K$440,$B35&amp;"-"&amp;"Yes",'Data By District'!$AC$7:$AC$440,$B35&amp;"-"&amp;X$6)</f>
        <v>0</v>
      </c>
      <c r="AJ35" s="332">
        <f>COUNTIFS('Data By District'!$K$7:$K$440,$B35&amp;"-"&amp;"Yes",'Data By District'!$AB$7:$AB$440,$B35&amp;"-"&amp;"Rep",'Data By District'!$K$7:$K$440,$B35&amp;"-"&amp;"Yes",'Data By District'!$AC$7:$AC$440,$B35&amp;"-"&amp;W$6)+COUNTIFS('Data By District'!$K$7:$K$440,$B35&amp;"-"&amp;"Yes",'Data By District'!$AB$7:$AB$440,$B35&amp;"-"&amp;"Rep",'Data By District'!$K$7:$K$440,$B35&amp;"-"&amp;"Yes",'Data By District'!$AC$7:$AC$440,$B35&amp;"-"&amp;X$6)</f>
        <v>0</v>
      </c>
      <c r="AK35" s="331">
        <f>COUNTIF('Data By District'!$E$7:$E$440,$B35&amp;"-"&amp;"Yes")</f>
        <v>1</v>
      </c>
      <c r="AL35" s="332">
        <f>COUNTIF('Data By District'!$F$7:$F$440,$B35&amp;"-"&amp;"Yes")</f>
        <v>0</v>
      </c>
      <c r="AM35" s="332">
        <f>COUNTIF('Data By District'!$G$7:$G$440,$B35&amp;"-"&amp;"Yes")</f>
        <v>0</v>
      </c>
      <c r="AN35" s="332">
        <f>COUNTIF('Data By District'!$H$7:$H$440,$B35&amp;"-"&amp;"Yes")</f>
        <v>0</v>
      </c>
      <c r="AO35" s="332">
        <f>COUNTIF('Data By District'!$I$7:$I$440,$B35&amp;"-"&amp;"Yes")</f>
        <v>0</v>
      </c>
      <c r="AP35" s="70">
        <f t="shared" si="8"/>
        <v>1.4900882704200886E-2</v>
      </c>
      <c r="AQ35" s="55">
        <f t="shared" si="25"/>
        <v>0.63266269482308657</v>
      </c>
      <c r="AR35" s="50">
        <f t="shared" si="26"/>
        <v>480885</v>
      </c>
      <c r="AS35" s="41">
        <f>SUMIF('Data By District'!$C$7:$C$440,$B35,'Data By District'!$O$7:$O$440)</f>
        <v>247448</v>
      </c>
      <c r="AT35" s="41">
        <f>SUMIF('Data By District'!$C$7:$C$440,$B35,'Data By District'!$Q$7:$Q$440)</f>
        <v>232365</v>
      </c>
      <c r="AU35" s="41">
        <f>SUMIF('Data By District'!$C$7:$C$440,$B35,'Data By District'!$S$7:$S$440)</f>
        <v>1072</v>
      </c>
      <c r="AV35" s="263">
        <f t="shared" si="9"/>
        <v>0.51456793204196427</v>
      </c>
      <c r="AW35" s="24">
        <f t="shared" si="10"/>
        <v>0.48320284475498299</v>
      </c>
      <c r="AX35" s="56">
        <f t="shared" si="11"/>
        <v>2.2292232030527051E-3</v>
      </c>
      <c r="AY35" s="25">
        <f>COUNTIF('Data By District'!$AB$7:$AB$440,$B35&amp;"-"&amp;AY$6)</f>
        <v>1</v>
      </c>
      <c r="AZ35" s="25">
        <f>COUNTIF('Data By District'!$AB$7:$AB$440,$B35&amp;"-"&amp;AZ$6)</f>
        <v>1</v>
      </c>
      <c r="BA35" s="25">
        <f>COUNTIF('Data By District'!$AB$7:$AB$440,$B35&amp;"-"&amp;BA$6)</f>
        <v>0</v>
      </c>
      <c r="BB35" s="259">
        <f t="shared" si="27"/>
        <v>0.5</v>
      </c>
      <c r="BC35" s="24">
        <f t="shared" si="28"/>
        <v>0.5</v>
      </c>
      <c r="BD35" s="56">
        <f t="shared" si="29"/>
        <v>0</v>
      </c>
      <c r="BE35" s="259">
        <f t="shared" si="12"/>
        <v>1.4567932041964271E-2</v>
      </c>
      <c r="BF35" s="24">
        <f t="shared" si="13"/>
        <v>1.6797155245017015E-2</v>
      </c>
      <c r="BG35" s="56">
        <f t="shared" si="14"/>
        <v>2.2292232030527051E-3</v>
      </c>
      <c r="BH35" s="50">
        <f t="shared" si="30"/>
        <v>304238</v>
      </c>
      <c r="BI35" s="41">
        <f>'Data By District'!AH249</f>
        <v>176647</v>
      </c>
      <c r="BJ35" s="41">
        <f>SUMIF('Data By District'!$C$7:$C$440,'Data By State'!$B35,'Data By District'!$AD$7:$AD$440)</f>
        <v>116769</v>
      </c>
      <c r="BK35" s="41">
        <f>SUMIF('Data By District'!$C$7:$C$440,'Data By State'!$B35,'Data By District'!$AE$7:$AE$440)</f>
        <v>106857</v>
      </c>
      <c r="BL35" s="50">
        <f>SUMIF('Data By District'!$C$7:$C$440,'Data By State'!$B35,'Data By District'!$AF$7:$AF$440)</f>
        <v>1072</v>
      </c>
      <c r="BM35" s="64">
        <f t="shared" si="31"/>
        <v>0.36733730517691338</v>
      </c>
      <c r="BN35" s="24">
        <f t="shared" si="33"/>
        <v>0.47189308460767515</v>
      </c>
      <c r="BO35" s="24">
        <f t="shared" si="34"/>
        <v>0.45986701955974435</v>
      </c>
      <c r="BP35" s="56">
        <f t="shared" si="35"/>
        <v>1</v>
      </c>
    </row>
    <row r="36" spans="1:68" ht="16.5" thickBot="1">
      <c r="A36" s="17" t="s">
        <v>93</v>
      </c>
      <c r="B36" s="26" t="s">
        <v>29</v>
      </c>
      <c r="C36" s="437">
        <v>1869535</v>
      </c>
      <c r="D36" s="437">
        <v>6007976</v>
      </c>
      <c r="E36" s="25">
        <f t="shared" si="0"/>
        <v>28</v>
      </c>
      <c r="F36" s="25">
        <f t="shared" si="1"/>
        <v>21</v>
      </c>
      <c r="G36" s="73">
        <f t="shared" si="18"/>
        <v>26</v>
      </c>
      <c r="H36" s="25">
        <f t="shared" si="19"/>
        <v>26</v>
      </c>
      <c r="I36" s="25">
        <f t="shared" si="20"/>
        <v>43</v>
      </c>
      <c r="J36" s="25">
        <f t="shared" si="21"/>
        <v>1</v>
      </c>
      <c r="K36" s="68">
        <f t="shared" si="22"/>
        <v>39</v>
      </c>
      <c r="L36" s="67">
        <f t="shared" si="2"/>
        <v>27.8</v>
      </c>
      <c r="M36" s="64">
        <f t="shared" si="23"/>
        <v>0.46380674545416484</v>
      </c>
      <c r="N36" s="419">
        <f>AVERAGEIF('Data By District'!$C$7:$C$441,B36,'Data By District'!$Y$7:$Y$441)</f>
        <v>0.30108543897924911</v>
      </c>
      <c r="O36" s="29">
        <f t="shared" si="3"/>
        <v>0.75</v>
      </c>
      <c r="P36" s="29">
        <f>SUMIF('Data By District'!$C$7:$C$440,B36,'Data By District'!$V$7:$V$440)/D36</f>
        <v>0.19012542659957363</v>
      </c>
      <c r="Q36" s="29">
        <f t="shared" si="4"/>
        <v>1.0131686949073876E-2</v>
      </c>
      <c r="R36" s="70">
        <f t="shared" si="5"/>
        <v>0.30315783551731895</v>
      </c>
      <c r="S36" s="69">
        <f t="shared" si="6"/>
        <v>12</v>
      </c>
      <c r="T36" s="25">
        <f>COUNTIF('Data By District'!$AC$7:$AC$440,$B36&amp;"-"&amp;T$6)</f>
        <v>0</v>
      </c>
      <c r="U36" s="25">
        <f>COUNTIF('Data By District'!$AC$7:$AC$440,$B36&amp;"-"&amp;U$6)</f>
        <v>1</v>
      </c>
      <c r="V36" s="25">
        <f>COUNTIF('Data By District'!$AC$7:$AC$440,$B36&amp;"-"&amp;V$6)</f>
        <v>2</v>
      </c>
      <c r="W36" s="25">
        <f>COUNTIF('Data By District'!$AC$7:$AC$440,$B36&amp;"-"&amp;W$6)</f>
        <v>7</v>
      </c>
      <c r="X36" s="25">
        <f>COUNTIF('Data By District'!$AC$7:$AC$440,$B36&amp;"-"&amp;X$6)-(Y36)</f>
        <v>2</v>
      </c>
      <c r="Y36" s="25">
        <f>COUNTIF('Data By District'!$AA$7:$AA$440,$B36&amp;"-"&amp;"Yes")</f>
        <v>0</v>
      </c>
      <c r="Z36" s="348">
        <f t="shared" si="7"/>
        <v>0</v>
      </c>
      <c r="AA36" s="350">
        <f>COUNTIF('Data By District'!$M$7:$M$440, $B36&amp;"-"&amp;1)</f>
        <v>0</v>
      </c>
      <c r="AB36" s="331">
        <f>COUNTIFS('Data By District'!$K$7:$K$440,$B36&amp;"-"&amp;"Yes",'Data By District'!$AC$7:$AC$440,$B36&amp;"-"&amp;X$6)+COUNTIFS('Data By District'!$K$7:$K$440,$B36&amp;"-"&amp;"Yes",'Data By District'!$AC$7:$AC$440,$B36&amp;"-"&amp;W$6)</f>
        <v>8</v>
      </c>
      <c r="AC36" s="328">
        <f t="shared" si="32"/>
        <v>0.88888888888888884</v>
      </c>
      <c r="AD36" s="332">
        <f>COUNTIF('Data By District'!$K$7:$K$440,$B36&amp;"-"&amp;"Yes")</f>
        <v>9</v>
      </c>
      <c r="AE36" s="332">
        <f t="shared" si="24"/>
        <v>0</v>
      </c>
      <c r="AF36" s="332">
        <f>COUNTIF('Data By District'!$J$7:$J$440,$B36&amp;"-"&amp;"Yes")</f>
        <v>9</v>
      </c>
      <c r="AG36" s="332">
        <f>COUNTIFS('Data By District'!$K$7:$K$440,$B36&amp;"-"&amp;"Yes",'Data By District'!$AB$7:$AB$440,$B36&amp;"-"&amp;"Dem")</f>
        <v>4</v>
      </c>
      <c r="AH36" s="332">
        <f>COUNTIFS('Data By District'!$K$7:$K$440,$B36&amp;"-"&amp;"Yes",'Data By District'!$AB$7:$AB$440,$B36&amp;"-"&amp;"Rep")</f>
        <v>5</v>
      </c>
      <c r="AI36" s="332">
        <f>COUNTIFS('Data By District'!$K$7:$K$440,$B36&amp;"-"&amp;"Yes",'Data By District'!$AB$7:$AB$440,$B36&amp;"-"&amp;"Dem",'Data By District'!$K$7:$K$440,$B36&amp;"-"&amp;"Yes",'Data By District'!$AC$7:$AC$440,$B36&amp;"-"&amp;W$6)+COUNTIFS('Data By District'!$K$7:$K$440,$B36&amp;"-"&amp;"Yes",'Data By District'!$AB$7:$AB$440,$B36&amp;"-"&amp;"Dem",'Data By District'!$K$7:$K$440,$B36&amp;"-"&amp;"Yes",'Data By District'!$AC$7:$AC$440,$B36&amp;"-"&amp;X$6)</f>
        <v>4</v>
      </c>
      <c r="AJ36" s="332">
        <f>COUNTIFS('Data By District'!$K$7:$K$440,$B36&amp;"-"&amp;"Yes",'Data By District'!$AB$7:$AB$440,$B36&amp;"-"&amp;"Rep",'Data By District'!$K$7:$K$440,$B36&amp;"-"&amp;"Yes",'Data By District'!$AC$7:$AC$440,$B36&amp;"-"&amp;W$6)+COUNTIFS('Data By District'!$K$7:$K$440,$B36&amp;"-"&amp;"Yes",'Data By District'!$AB$7:$AB$440,$B36&amp;"-"&amp;"Rep",'Data By District'!$K$7:$K$440,$B36&amp;"-"&amp;"Yes",'Data By District'!$AC$7:$AC$440,$B36&amp;"-"&amp;X$6)</f>
        <v>4</v>
      </c>
      <c r="AK36" s="331">
        <f>COUNTIF('Data By District'!$E$7:$E$440,$B36&amp;"-"&amp;"Yes")</f>
        <v>1</v>
      </c>
      <c r="AL36" s="332">
        <f>COUNTIF('Data By District'!$F$7:$F$440,$B36&amp;"-"&amp;"Yes")</f>
        <v>1</v>
      </c>
      <c r="AM36" s="332">
        <f>COUNTIF('Data By District'!$G$7:$G$440,$B36&amp;"-"&amp;"Yes")</f>
        <v>1</v>
      </c>
      <c r="AN36" s="332">
        <f>COUNTIF('Data By District'!$H$7:$H$440,$B36&amp;"-"&amp;"Yes")</f>
        <v>0</v>
      </c>
      <c r="AO36" s="332">
        <f>COUNTIF('Data By District'!$I$7:$I$440,$B36&amp;"-"&amp;"Yes")</f>
        <v>0</v>
      </c>
      <c r="AP36" s="70">
        <f t="shared" si="8"/>
        <v>2.5765765283880752E-2</v>
      </c>
      <c r="AQ36" s="55">
        <f t="shared" si="25"/>
        <v>0.59533371949060188</v>
      </c>
      <c r="AR36" s="50">
        <f t="shared" si="26"/>
        <v>1821365</v>
      </c>
      <c r="AS36" s="41">
        <f>SUMIF('Data By District'!$C$7:$C$440,$B36,'Data By District'!$O$7:$O$440)</f>
        <v>914172</v>
      </c>
      <c r="AT36" s="41">
        <f>SUMIF('Data By District'!$C$7:$C$440,$B36,'Data By District'!$Q$7:$Q$440)</f>
        <v>877265</v>
      </c>
      <c r="AU36" s="41">
        <f>SUMIF('Data By District'!$C$7:$C$440,$B36,'Data By District'!$S$7:$S$440)</f>
        <v>29928</v>
      </c>
      <c r="AV36" s="263">
        <f t="shared" si="9"/>
        <v>0.50191587078921573</v>
      </c>
      <c r="AW36" s="24">
        <f t="shared" si="10"/>
        <v>0.48165249689106798</v>
      </c>
      <c r="AX36" s="56">
        <f t="shared" si="11"/>
        <v>1.6431632319716255E-2</v>
      </c>
      <c r="AY36" s="25">
        <f>COUNTIF('Data By District'!$AB$7:$AB$440,$B36&amp;"-"&amp;AY$6)</f>
        <v>6</v>
      </c>
      <c r="AZ36" s="25">
        <f>COUNTIF('Data By District'!$AB$7:$AB$440,$B36&amp;"-"&amp;AZ$6)</f>
        <v>6</v>
      </c>
      <c r="BA36" s="25">
        <f>COUNTIF('Data By District'!$AB$7:$AB$440,$B36&amp;"-"&amp;BA$6)</f>
        <v>0</v>
      </c>
      <c r="BB36" s="259">
        <f t="shared" si="27"/>
        <v>0.5</v>
      </c>
      <c r="BC36" s="24">
        <f t="shared" si="28"/>
        <v>0.5</v>
      </c>
      <c r="BD36" s="56">
        <f t="shared" si="29"/>
        <v>0</v>
      </c>
      <c r="BE36" s="259">
        <f t="shared" si="12"/>
        <v>1.9158707892157345E-3</v>
      </c>
      <c r="BF36" s="24">
        <f t="shared" si="13"/>
        <v>1.8347503108932017E-2</v>
      </c>
      <c r="BG36" s="56">
        <f t="shared" si="14"/>
        <v>1.6431632319716255E-2</v>
      </c>
      <c r="BH36" s="50">
        <f t="shared" si="30"/>
        <v>1084320</v>
      </c>
      <c r="BI36" s="41">
        <f>'Data By District'!AH262</f>
        <v>737045</v>
      </c>
      <c r="BJ36" s="41">
        <f>SUMIF('Data By District'!$C$7:$C$440,'Data By State'!$B36,'Data By District'!$AD$7:$AD$440)</f>
        <v>418495</v>
      </c>
      <c r="BK36" s="41">
        <f>SUMIF('Data By District'!$C$7:$C$440,'Data By State'!$B36,'Data By District'!$AE$7:$AE$440)</f>
        <v>230673</v>
      </c>
      <c r="BL36" s="50">
        <f>SUMIF('Data By District'!$C$7:$C$440,'Data By State'!$B36,'Data By District'!$AF$7:$AF$440)</f>
        <v>29928</v>
      </c>
      <c r="BM36" s="64">
        <f t="shared" si="31"/>
        <v>0.40466628050939818</v>
      </c>
      <c r="BN36" s="24">
        <f t="shared" si="33"/>
        <v>0.45778584336426842</v>
      </c>
      <c r="BO36" s="24">
        <f t="shared" si="34"/>
        <v>0.26294563216359934</v>
      </c>
      <c r="BP36" s="56">
        <f t="shared" si="35"/>
        <v>1</v>
      </c>
    </row>
    <row r="37" spans="1:68" ht="16.5" thickBot="1">
      <c r="A37" s="17" t="s">
        <v>94</v>
      </c>
      <c r="B37" s="26" t="s">
        <v>30</v>
      </c>
      <c r="C37" s="437">
        <v>512805</v>
      </c>
      <c r="D37" s="437">
        <v>1436968</v>
      </c>
      <c r="E37" s="25">
        <f t="shared" si="0"/>
        <v>24</v>
      </c>
      <c r="F37" s="25">
        <f t="shared" si="1"/>
        <v>17</v>
      </c>
      <c r="G37" s="73">
        <f t="shared" si="18"/>
        <v>14</v>
      </c>
      <c r="H37" s="25">
        <f t="shared" si="19"/>
        <v>19</v>
      </c>
      <c r="I37" s="25">
        <f t="shared" si="20"/>
        <v>36</v>
      </c>
      <c r="J37" s="25">
        <f t="shared" si="21"/>
        <v>17</v>
      </c>
      <c r="K37" s="68">
        <f t="shared" si="22"/>
        <v>30</v>
      </c>
      <c r="L37" s="67">
        <f t="shared" si="2"/>
        <v>24.4</v>
      </c>
      <c r="M37" s="64">
        <f t="shared" si="23"/>
        <v>0.48061531688111481</v>
      </c>
      <c r="N37" s="419">
        <f>AVERAGEIF('Data By District'!$C$7:$C$441,B37,'Data By District'!$Y$7:$Y$441)</f>
        <v>0.23049441186122013</v>
      </c>
      <c r="O37" s="29">
        <f t="shared" si="3"/>
        <v>0.66666666666666663</v>
      </c>
      <c r="P37" s="29">
        <f>SUMIF('Data By District'!$C$7:$C$440,B37,'Data By District'!$V$7:$V$440)/D37</f>
        <v>0.21846833054041565</v>
      </c>
      <c r="Q37" s="29">
        <f t="shared" si="4"/>
        <v>0.13669899814737035</v>
      </c>
      <c r="R37" s="70">
        <f t="shared" si="5"/>
        <v>0.35622574754622233</v>
      </c>
      <c r="S37" s="69">
        <f t="shared" si="6"/>
        <v>3</v>
      </c>
      <c r="T37" s="25">
        <f>COUNTIF('Data By District'!$AC$7:$AC$440,$B37&amp;"-"&amp;T$6)</f>
        <v>0</v>
      </c>
      <c r="U37" s="25">
        <f>COUNTIF('Data By District'!$AC$7:$AC$440,$B37&amp;"-"&amp;U$6)</f>
        <v>0</v>
      </c>
      <c r="V37" s="25">
        <f>COUNTIF('Data By District'!$AC$7:$AC$440,$B37&amp;"-"&amp;V$6)</f>
        <v>1</v>
      </c>
      <c r="W37" s="25">
        <f>COUNTIF('Data By District'!$AC$7:$AC$440,$B37&amp;"-"&amp;W$6)</f>
        <v>2</v>
      </c>
      <c r="X37" s="25">
        <f>COUNTIF('Data By District'!$AC$7:$AC$440,$B37&amp;"-"&amp;X$6)-(Y37)</f>
        <v>0</v>
      </c>
      <c r="Y37" s="25">
        <f>COUNTIF('Data By District'!$AA$7:$AA$440,$B37&amp;"-"&amp;"Yes")</f>
        <v>0</v>
      </c>
      <c r="Z37" s="348">
        <f t="shared" si="7"/>
        <v>0</v>
      </c>
      <c r="AA37" s="350">
        <f>COUNTIF('Data By District'!$M$7:$M$440, $B37&amp;"-"&amp;1)</f>
        <v>0</v>
      </c>
      <c r="AB37" s="331">
        <f>COUNTIFS('Data By District'!$K$7:$K$440,$B37&amp;"-"&amp;"Yes",'Data By District'!$AC$7:$AC$440,$B37&amp;"-"&amp;X$6)+COUNTIFS('Data By District'!$K$7:$K$440,$B37&amp;"-"&amp;"Yes",'Data By District'!$AC$7:$AC$440,$B37&amp;"-"&amp;W$6)</f>
        <v>2</v>
      </c>
      <c r="AC37" s="328">
        <f t="shared" si="32"/>
        <v>0.66666666666666663</v>
      </c>
      <c r="AD37" s="332">
        <f>COUNTIF('Data By District'!$K$7:$K$440,$B37&amp;"-"&amp;"Yes")</f>
        <v>3</v>
      </c>
      <c r="AE37" s="332">
        <f t="shared" si="24"/>
        <v>0</v>
      </c>
      <c r="AF37" s="332">
        <f>COUNTIF('Data By District'!$J$7:$J$440,$B37&amp;"-"&amp;"Yes")</f>
        <v>3</v>
      </c>
      <c r="AG37" s="332">
        <f>COUNTIFS('Data By District'!$K$7:$K$440,$B37&amp;"-"&amp;"Yes",'Data By District'!$AB$7:$AB$440,$B37&amp;"-"&amp;"Dem")</f>
        <v>2</v>
      </c>
      <c r="AH37" s="332">
        <f>COUNTIFS('Data By District'!$K$7:$K$440,$B37&amp;"-"&amp;"Yes",'Data By District'!$AB$7:$AB$440,$B37&amp;"-"&amp;"Rep")</f>
        <v>1</v>
      </c>
      <c r="AI37" s="332">
        <f>COUNTIFS('Data By District'!$K$7:$K$440,$B37&amp;"-"&amp;"Yes",'Data By District'!$AB$7:$AB$440,$B37&amp;"-"&amp;"Dem",'Data By District'!$K$7:$K$440,$B37&amp;"-"&amp;"Yes",'Data By District'!$AC$7:$AC$440,$B37&amp;"-"&amp;W$6)+COUNTIFS('Data By District'!$K$7:$K$440,$B37&amp;"-"&amp;"Yes",'Data By District'!$AB$7:$AB$440,$B37&amp;"-"&amp;"Dem",'Data By District'!$K$7:$K$440,$B37&amp;"-"&amp;"Yes",'Data By District'!$AC$7:$AC$440,$B37&amp;"-"&amp;X$6)</f>
        <v>1</v>
      </c>
      <c r="AJ37" s="332">
        <f>COUNTIFS('Data By District'!$K$7:$K$440,$B37&amp;"-"&amp;"Yes",'Data By District'!$AB$7:$AB$440,$B37&amp;"-"&amp;"Rep",'Data By District'!$K$7:$K$440,$B37&amp;"-"&amp;"Yes",'Data By District'!$AC$7:$AC$440,$B37&amp;"-"&amp;W$6)+COUNTIFS('Data By District'!$K$7:$K$440,$B37&amp;"-"&amp;"Yes",'Data By District'!$AB$7:$AB$440,$B37&amp;"-"&amp;"Rep",'Data By District'!$K$7:$K$440,$B37&amp;"-"&amp;"Yes",'Data By District'!$AC$7:$AC$440,$B37&amp;"-"&amp;X$6)</f>
        <v>1</v>
      </c>
      <c r="AK37" s="331">
        <f>COUNTIF('Data By District'!$E$7:$E$440,$B37&amp;"-"&amp;"Yes")</f>
        <v>1</v>
      </c>
      <c r="AL37" s="332">
        <f>COUNTIF('Data By District'!$F$7:$F$440,$B37&amp;"-"&amp;"Yes")</f>
        <v>0</v>
      </c>
      <c r="AM37" s="332">
        <f>COUNTIF('Data By District'!$G$7:$G$440,$B37&amp;"-"&amp;"Yes")</f>
        <v>2</v>
      </c>
      <c r="AN37" s="332">
        <f>COUNTIF('Data By District'!$H$7:$H$440,$B37&amp;"-"&amp;"Yes")</f>
        <v>0</v>
      </c>
      <c r="AO37" s="332">
        <f>COUNTIF('Data By District'!$I$7:$I$440,$B37&amp;"-"&amp;"Yes")</f>
        <v>0</v>
      </c>
      <c r="AP37" s="70">
        <f t="shared" si="8"/>
        <v>1.7940542701416718E-3</v>
      </c>
      <c r="AQ37" s="55">
        <f t="shared" si="25"/>
        <v>0.62137980210398824</v>
      </c>
      <c r="AR37" s="50">
        <f t="shared" si="26"/>
        <v>511885</v>
      </c>
      <c r="AS37" s="41">
        <f>SUMIF('Data By District'!$C$7:$C$440,$B37,'Data By District'!$O$7:$O$440)</f>
        <v>271222</v>
      </c>
      <c r="AT37" s="41">
        <f>SUMIF('Data By District'!$C$7:$C$440,$B37,'Data By District'!$Q$7:$Q$440)</f>
        <v>240542</v>
      </c>
      <c r="AU37" s="41">
        <f>SUMIF('Data By District'!$C$7:$C$440,$B37,'Data By District'!$S$7:$S$440)</f>
        <v>121</v>
      </c>
      <c r="AV37" s="263">
        <f t="shared" si="9"/>
        <v>0.52984947791007742</v>
      </c>
      <c r="AW37" s="24">
        <f t="shared" si="10"/>
        <v>0.46991414087148481</v>
      </c>
      <c r="AX37" s="56">
        <f t="shared" si="11"/>
        <v>2.3638121843773505E-4</v>
      </c>
      <c r="AY37" s="25">
        <f>COUNTIF('Data By District'!$AB$7:$AB$440,$B37&amp;"-"&amp;AY$6)</f>
        <v>2</v>
      </c>
      <c r="AZ37" s="25">
        <f>COUNTIF('Data By District'!$AB$7:$AB$440,$B37&amp;"-"&amp;AZ$6)</f>
        <v>1</v>
      </c>
      <c r="BA37" s="25">
        <f>COUNTIF('Data By District'!$AB$7:$AB$440,$B37&amp;"-"&amp;BA$6)</f>
        <v>0</v>
      </c>
      <c r="BB37" s="259">
        <f t="shared" si="27"/>
        <v>0.66666666666666663</v>
      </c>
      <c r="BC37" s="24">
        <f t="shared" si="28"/>
        <v>0.33333333333333331</v>
      </c>
      <c r="BD37" s="56">
        <f t="shared" si="29"/>
        <v>0</v>
      </c>
      <c r="BE37" s="259">
        <f t="shared" si="12"/>
        <v>0.13681718875658921</v>
      </c>
      <c r="BF37" s="24">
        <f t="shared" si="13"/>
        <v>0.13658080753815149</v>
      </c>
      <c r="BG37" s="56">
        <f t="shared" si="14"/>
        <v>2.3638121843773505E-4</v>
      </c>
      <c r="BH37" s="50">
        <f t="shared" si="30"/>
        <v>318075</v>
      </c>
      <c r="BI37" s="41">
        <f>'Data By District'!AH265</f>
        <v>193810</v>
      </c>
      <c r="BJ37" s="41">
        <f>SUMIF('Data By District'!$C$7:$C$440,'Data By State'!$B37,'Data By District'!$AD$7:$AD$440)</f>
        <v>52499</v>
      </c>
      <c r="BK37" s="41">
        <f>SUMIF('Data By District'!$C$7:$C$440,'Data By State'!$B37,'Data By District'!$AE$7:$AE$440)</f>
        <v>145333</v>
      </c>
      <c r="BL37" s="50">
        <f>SUMIF('Data By District'!$C$7:$C$440,'Data By State'!$B37,'Data By District'!$AF$7:$AF$440)</f>
        <v>121</v>
      </c>
      <c r="BM37" s="64">
        <f t="shared" si="31"/>
        <v>0.37862019789601181</v>
      </c>
      <c r="BN37" s="24">
        <f t="shared" si="33"/>
        <v>0.19356468133116045</v>
      </c>
      <c r="BO37" s="24">
        <f t="shared" si="34"/>
        <v>0.60418970491639712</v>
      </c>
      <c r="BP37" s="56">
        <f t="shared" si="35"/>
        <v>1</v>
      </c>
    </row>
    <row r="38" spans="1:68" ht="16.5" thickBot="1">
      <c r="A38" s="17" t="s">
        <v>95</v>
      </c>
      <c r="B38" s="26" t="s">
        <v>31</v>
      </c>
      <c r="C38" s="437">
        <v>3819010</v>
      </c>
      <c r="D38" s="437">
        <v>13563172</v>
      </c>
      <c r="E38" s="25">
        <f t="shared" si="0"/>
        <v>42</v>
      </c>
      <c r="F38" s="25">
        <f t="shared" si="1"/>
        <v>33</v>
      </c>
      <c r="G38" s="73">
        <f t="shared" si="18"/>
        <v>44</v>
      </c>
      <c r="H38" s="25">
        <f t="shared" si="19"/>
        <v>23</v>
      </c>
      <c r="I38" s="25">
        <f t="shared" si="20"/>
        <v>46</v>
      </c>
      <c r="J38" s="25">
        <f t="shared" si="21"/>
        <v>12</v>
      </c>
      <c r="K38" s="68">
        <f t="shared" si="22"/>
        <v>48</v>
      </c>
      <c r="L38" s="67">
        <f t="shared" si="2"/>
        <v>34.200000000000003</v>
      </c>
      <c r="M38" s="64">
        <f t="shared" si="23"/>
        <v>0.41721950383880763</v>
      </c>
      <c r="N38" s="419">
        <f>AVERAGEIF('Data By District'!$C$7:$C$441,B38,'Data By District'!$Y$7:$Y$441)</f>
        <v>0.47021653199196933</v>
      </c>
      <c r="O38" s="29">
        <f t="shared" si="3"/>
        <v>0.70370370370370372</v>
      </c>
      <c r="P38" s="29">
        <f>SUMIF('Data By District'!$C$7:$C$440,B38,'Data By District'!$V$7:$V$440)/D38</f>
        <v>0.18271765631225498</v>
      </c>
      <c r="Q38" s="29">
        <f t="shared" si="4"/>
        <v>0.10541755773479897</v>
      </c>
      <c r="R38" s="70">
        <f t="shared" si="5"/>
        <v>0.27005032451110994</v>
      </c>
      <c r="S38" s="69">
        <f t="shared" si="6"/>
        <v>27</v>
      </c>
      <c r="T38" s="25">
        <f>COUNTIF('Data By District'!$AC$7:$AC$440,$B38&amp;"-"&amp;T$6)</f>
        <v>2</v>
      </c>
      <c r="U38" s="25">
        <f>COUNTIF('Data By District'!$AC$7:$AC$440,$B38&amp;"-"&amp;U$6)</f>
        <v>3</v>
      </c>
      <c r="V38" s="25">
        <f>COUNTIF('Data By District'!$AC$7:$AC$440,$B38&amp;"-"&amp;V$6)</f>
        <v>3</v>
      </c>
      <c r="W38" s="25">
        <f>COUNTIF('Data By District'!$AC$7:$AC$440,$B38&amp;"-"&amp;W$6)</f>
        <v>6</v>
      </c>
      <c r="X38" s="25">
        <f>COUNTIF('Data By District'!$AC$7:$AC$440,$B38&amp;"-"&amp;X$6)-(Y38)</f>
        <v>3</v>
      </c>
      <c r="Y38" s="25">
        <f>COUNTIF('Data By District'!$AA$7:$AA$440,$B38&amp;"-"&amp;"Yes")</f>
        <v>10</v>
      </c>
      <c r="Z38" s="348">
        <f t="shared" si="7"/>
        <v>0.37037037037037035</v>
      </c>
      <c r="AA38" s="350">
        <f>COUNTIF('Data By District'!$M$7:$M$440, $B38&amp;"-"&amp;1)</f>
        <v>0</v>
      </c>
      <c r="AB38" s="331">
        <f>COUNTIFS('Data By District'!$K$7:$K$440,$B38&amp;"-"&amp;"Yes",'Data By District'!$AC$7:$AC$440,$B38&amp;"-"&amp;X$6)+COUNTIFS('Data By District'!$K$7:$K$440,$B38&amp;"-"&amp;"Yes",'Data By District'!$AC$7:$AC$440,$B38&amp;"-"&amp;W$6)</f>
        <v>18</v>
      </c>
      <c r="AC38" s="328">
        <f t="shared" si="32"/>
        <v>0.78260869565217395</v>
      </c>
      <c r="AD38" s="332">
        <f>COUNTIF('Data By District'!$K$7:$K$440,$B38&amp;"-"&amp;"Yes")</f>
        <v>23</v>
      </c>
      <c r="AE38" s="332">
        <f t="shared" si="24"/>
        <v>2</v>
      </c>
      <c r="AF38" s="332">
        <f>COUNTIF('Data By District'!$J$7:$J$440,$B38&amp;"-"&amp;"Yes")</f>
        <v>25</v>
      </c>
      <c r="AG38" s="332">
        <f>COUNTIFS('Data By District'!$K$7:$K$440,$B38&amp;"-"&amp;"Yes",'Data By District'!$AB$7:$AB$440,$B38&amp;"-"&amp;"Dem")</f>
        <v>17</v>
      </c>
      <c r="AH38" s="332">
        <f>COUNTIFS('Data By District'!$K$7:$K$440,$B38&amp;"-"&amp;"Yes",'Data By District'!$AB$7:$AB$440,$B38&amp;"-"&amp;"Rep")</f>
        <v>6</v>
      </c>
      <c r="AI38" s="332">
        <f>COUNTIFS('Data By District'!$K$7:$K$440,$B38&amp;"-"&amp;"Yes",'Data By District'!$AB$7:$AB$440,$B38&amp;"-"&amp;"Dem",'Data By District'!$K$7:$K$440,$B38&amp;"-"&amp;"Yes",'Data By District'!$AC$7:$AC$440,$B38&amp;"-"&amp;W$6)+COUNTIFS('Data By District'!$K$7:$K$440,$B38&amp;"-"&amp;"Yes",'Data By District'!$AB$7:$AB$440,$B38&amp;"-"&amp;"Dem",'Data By District'!$K$7:$K$440,$B38&amp;"-"&amp;"Yes",'Data By District'!$AC$7:$AC$440,$B38&amp;"-"&amp;X$6)</f>
        <v>13</v>
      </c>
      <c r="AJ38" s="332">
        <f>COUNTIFS('Data By District'!$K$7:$K$440,$B38&amp;"-"&amp;"Yes",'Data By District'!$AB$7:$AB$440,$B38&amp;"-"&amp;"Rep",'Data By District'!$K$7:$K$440,$B38&amp;"-"&amp;"Yes",'Data By District'!$AC$7:$AC$440,$B38&amp;"-"&amp;W$6)+COUNTIFS('Data By District'!$K$7:$K$440,$B38&amp;"-"&amp;"Yes",'Data By District'!$AB$7:$AB$440,$B38&amp;"-"&amp;"Rep",'Data By District'!$K$7:$K$440,$B38&amp;"-"&amp;"Yes",'Data By District'!$AC$7:$AC$440,$B38&amp;"-"&amp;X$6)</f>
        <v>5</v>
      </c>
      <c r="AK38" s="331">
        <f>COUNTIF('Data By District'!$E$7:$E$440,$B38&amp;"-"&amp;"Yes")</f>
        <v>8</v>
      </c>
      <c r="AL38" s="332">
        <f>COUNTIF('Data By District'!$F$7:$F$440,$B38&amp;"-"&amp;"Yes")</f>
        <v>4</v>
      </c>
      <c r="AM38" s="332">
        <f>COUNTIF('Data By District'!$G$7:$G$440,$B38&amp;"-"&amp;"Yes")</f>
        <v>2</v>
      </c>
      <c r="AN38" s="332">
        <f>COUNTIF('Data By District'!$H$7:$H$440,$B38&amp;"-"&amp;"Yes")</f>
        <v>1</v>
      </c>
      <c r="AO38" s="332">
        <f>COUNTIF('Data By District'!$I$7:$I$440,$B38&amp;"-"&amp;"Yes")</f>
        <v>0</v>
      </c>
      <c r="AP38" s="70">
        <f t="shared" si="8"/>
        <v>4.0919243468857114E-2</v>
      </c>
      <c r="AQ38" s="55">
        <f t="shared" si="25"/>
        <v>0.63781421499047575</v>
      </c>
      <c r="AR38" s="50">
        <f t="shared" si="26"/>
        <v>3662739</v>
      </c>
      <c r="AS38" s="41">
        <f>SUMIF('Data By District'!$C$7:$C$440,$B38,'Data By District'!$O$7:$O$440)</f>
        <v>2002953</v>
      </c>
      <c r="AT38" s="41">
        <f>SUMIF('Data By District'!$C$7:$C$440,$B38,'Data By District'!$Q$7:$Q$440)</f>
        <v>1554274</v>
      </c>
      <c r="AU38" s="41">
        <f>SUMIF('Data By District'!$C$7:$C$440,$B38,'Data By District'!$S$7:$S$440)</f>
        <v>105512</v>
      </c>
      <c r="AV38" s="263">
        <f t="shared" si="9"/>
        <v>0.5468456802409345</v>
      </c>
      <c r="AW38" s="24">
        <f t="shared" si="10"/>
        <v>0.42434746237719911</v>
      </c>
      <c r="AX38" s="56">
        <f t="shared" si="11"/>
        <v>2.8806857381866412E-2</v>
      </c>
      <c r="AY38" s="25">
        <f>COUNTIF('Data By District'!$AB$7:$AB$440,$B38&amp;"-"&amp;AY$6)</f>
        <v>18</v>
      </c>
      <c r="AZ38" s="25">
        <f>COUNTIF('Data By District'!$AB$7:$AB$440,$B38&amp;"-"&amp;AZ$6)</f>
        <v>9</v>
      </c>
      <c r="BA38" s="25">
        <f>COUNTIF('Data By District'!$AB$7:$AB$440,$B38&amp;"-"&amp;BA$6)</f>
        <v>0</v>
      </c>
      <c r="BB38" s="259">
        <f t="shared" si="27"/>
        <v>0.66666666666666663</v>
      </c>
      <c r="BC38" s="24">
        <f t="shared" si="28"/>
        <v>0.33333333333333331</v>
      </c>
      <c r="BD38" s="56">
        <f t="shared" si="29"/>
        <v>0</v>
      </c>
      <c r="BE38" s="259">
        <f t="shared" si="12"/>
        <v>0.11982098642573213</v>
      </c>
      <c r="BF38" s="24">
        <f t="shared" si="13"/>
        <v>9.1014129043865799E-2</v>
      </c>
      <c r="BG38" s="56">
        <f t="shared" si="14"/>
        <v>2.8806857381866412E-2</v>
      </c>
      <c r="BH38" s="50">
        <f t="shared" si="30"/>
        <v>2336147</v>
      </c>
      <c r="BI38" s="41">
        <f>'Data By District'!AH294</f>
        <v>1326592</v>
      </c>
      <c r="BJ38" s="41">
        <f>SUMIF('Data By District'!$C$7:$C$440,'Data By State'!$B38,'Data By District'!$AD$7:$AD$440)</f>
        <v>506770</v>
      </c>
      <c r="BK38" s="41">
        <f>SUMIF('Data By District'!$C$7:$C$440,'Data By State'!$B38,'Data By District'!$AE$7:$AE$440)</f>
        <v>572226</v>
      </c>
      <c r="BL38" s="50">
        <f>SUMIF('Data By District'!$C$7:$C$440,'Data By State'!$B38,'Data By District'!$AF$7:$AF$440)</f>
        <v>105512</v>
      </c>
      <c r="BM38" s="64">
        <f t="shared" si="31"/>
        <v>0.36218578500952431</v>
      </c>
      <c r="BN38" s="24">
        <f t="shared" si="33"/>
        <v>0.25301142862563425</v>
      </c>
      <c r="BO38" s="24">
        <f t="shared" si="34"/>
        <v>0.36816288505115574</v>
      </c>
      <c r="BP38" s="56">
        <f t="shared" si="35"/>
        <v>1</v>
      </c>
    </row>
    <row r="39" spans="1:68" ht="16.5" thickBot="1">
      <c r="A39" s="17" t="s">
        <v>96</v>
      </c>
      <c r="B39" s="26" t="s">
        <v>32</v>
      </c>
      <c r="C39" s="437">
        <v>2915281</v>
      </c>
      <c r="D39" s="437">
        <v>7132188</v>
      </c>
      <c r="E39" s="25">
        <f t="shared" ref="E39:E56" si="36">RANK(L39,L$7:L$56,1)</f>
        <v>27</v>
      </c>
      <c r="F39" s="25">
        <f t="shared" ref="F39:F56" si="37">RANK(M39,M$7:M$56)</f>
        <v>27</v>
      </c>
      <c r="G39" s="73">
        <f t="shared" si="18"/>
        <v>34</v>
      </c>
      <c r="H39" s="25">
        <f t="shared" si="19"/>
        <v>30</v>
      </c>
      <c r="I39" s="25">
        <f t="shared" si="20"/>
        <v>16</v>
      </c>
      <c r="J39" s="25">
        <f t="shared" si="21"/>
        <v>32</v>
      </c>
      <c r="K39" s="68">
        <f t="shared" si="22"/>
        <v>22</v>
      </c>
      <c r="L39" s="67">
        <f t="shared" ref="L39:L56" si="38">AVERAGE(G39,H39,I39,I39,J39)</f>
        <v>25.6</v>
      </c>
      <c r="M39" s="64">
        <f t="shared" si="23"/>
        <v>0.43901607358554584</v>
      </c>
      <c r="N39" s="419">
        <f>AVERAGEIF('Data By District'!$C$7:$C$441,B39,'Data By District'!$Y$7:$Y$441)</f>
        <v>0.34350692180625592</v>
      </c>
      <c r="O39" s="29">
        <f t="shared" ref="O39:O57" si="39">(W39+X39+Y39)/S39</f>
        <v>0.76923076923076927</v>
      </c>
      <c r="P39" s="29">
        <f>SUMIF('Data By District'!$C$7:$C$440,B39,'Data By District'!$V$7:$V$440)/D39</f>
        <v>0.25991533033060821</v>
      </c>
      <c r="Q39" s="29">
        <f t="shared" ref="Q39:Q57" si="40">(BF39+BE39)/2</f>
        <v>0.21201260169646188</v>
      </c>
      <c r="R39" s="70">
        <f t="shared" ref="R39:R56" si="41">AR39/D39</f>
        <v>0.39370779345693074</v>
      </c>
      <c r="S39" s="69">
        <f t="shared" ref="S39:S56" si="42">SUM(T39:Y39)</f>
        <v>13</v>
      </c>
      <c r="T39" s="25">
        <f>COUNTIF('Data By District'!$AC$7:$AC$440,$B39&amp;"-"&amp;T$6)</f>
        <v>0</v>
      </c>
      <c r="U39" s="25">
        <f>COUNTIF('Data By District'!$AC$7:$AC$440,$B39&amp;"-"&amp;U$6)</f>
        <v>0</v>
      </c>
      <c r="V39" s="25">
        <f>COUNTIF('Data By District'!$AC$7:$AC$440,$B39&amp;"-"&amp;V$6)</f>
        <v>3</v>
      </c>
      <c r="W39" s="25">
        <f>COUNTIF('Data By District'!$AC$7:$AC$440,$B39&amp;"-"&amp;W$6)</f>
        <v>6</v>
      </c>
      <c r="X39" s="25">
        <f>COUNTIF('Data By District'!$AC$7:$AC$440,$B39&amp;"-"&amp;X$6)-(Y39)</f>
        <v>3</v>
      </c>
      <c r="Y39" s="25">
        <f>COUNTIF('Data By District'!$AA$7:$AA$440,$B39&amp;"-"&amp;"Yes")</f>
        <v>1</v>
      </c>
      <c r="Z39" s="348">
        <f t="shared" ref="Z39:Z57" si="43">Y39/S39</f>
        <v>7.6923076923076927E-2</v>
      </c>
      <c r="AA39" s="350">
        <f>COUNTIF('Data By District'!$M$7:$M$440, $B39&amp;"-"&amp;1)</f>
        <v>0</v>
      </c>
      <c r="AB39" s="331">
        <f>COUNTIFS('Data By District'!$K$7:$K$440,$B39&amp;"-"&amp;"Yes",'Data By District'!$AC$7:$AC$440,$B39&amp;"-"&amp;X$6)+COUNTIFS('Data By District'!$K$7:$K$440,$B39&amp;"-"&amp;"Yes",'Data By District'!$AC$7:$AC$440,$B39&amp;"-"&amp;W$6)</f>
        <v>8</v>
      </c>
      <c r="AC39" s="328">
        <f t="shared" si="32"/>
        <v>0.8</v>
      </c>
      <c r="AD39" s="332">
        <f>COUNTIF('Data By District'!$K$7:$K$440,$B39&amp;"-"&amp;"Yes")</f>
        <v>10</v>
      </c>
      <c r="AE39" s="332">
        <f t="shared" si="24"/>
        <v>0</v>
      </c>
      <c r="AF39" s="332">
        <f>COUNTIF('Data By District'!$J$7:$J$440,$B39&amp;"-"&amp;"Yes")</f>
        <v>10</v>
      </c>
      <c r="AG39" s="332">
        <f>COUNTIFS('Data By District'!$K$7:$K$440,$B39&amp;"-"&amp;"Yes",'Data By District'!$AB$7:$AB$440,$B39&amp;"-"&amp;"Dem")</f>
        <v>2</v>
      </c>
      <c r="AH39" s="332">
        <f>COUNTIFS('Data By District'!$K$7:$K$440,$B39&amp;"-"&amp;"Yes",'Data By District'!$AB$7:$AB$440,$B39&amp;"-"&amp;"Rep")</f>
        <v>8</v>
      </c>
      <c r="AI39" s="332">
        <f>COUNTIFS('Data By District'!$K$7:$K$440,$B39&amp;"-"&amp;"Yes",'Data By District'!$AB$7:$AB$440,$B39&amp;"-"&amp;"Dem",'Data By District'!$K$7:$K$440,$B39&amp;"-"&amp;"Yes",'Data By District'!$AC$7:$AC$440,$B39&amp;"-"&amp;W$6)+COUNTIFS('Data By District'!$K$7:$K$440,$B39&amp;"-"&amp;"Yes",'Data By District'!$AB$7:$AB$440,$B39&amp;"-"&amp;"Dem",'Data By District'!$K$7:$K$440,$B39&amp;"-"&amp;"Yes",'Data By District'!$AC$7:$AC$440,$B39&amp;"-"&amp;X$6)</f>
        <v>2</v>
      </c>
      <c r="AJ39" s="332">
        <f>COUNTIFS('Data By District'!$K$7:$K$440,$B39&amp;"-"&amp;"Yes",'Data By District'!$AB$7:$AB$440,$B39&amp;"-"&amp;"Rep",'Data By District'!$K$7:$K$440,$B39&amp;"-"&amp;"Yes",'Data By District'!$AC$7:$AC$440,$B39&amp;"-"&amp;W$6)+COUNTIFS('Data By District'!$K$7:$K$440,$B39&amp;"-"&amp;"Yes",'Data By District'!$AB$7:$AB$440,$B39&amp;"-"&amp;"Rep",'Data By District'!$K$7:$K$440,$B39&amp;"-"&amp;"Yes",'Data By District'!$AC$7:$AC$440,$B39&amp;"-"&amp;X$6)</f>
        <v>6</v>
      </c>
      <c r="AK39" s="331">
        <f>COUNTIF('Data By District'!$E$7:$E$440,$B39&amp;"-"&amp;"Yes")</f>
        <v>3</v>
      </c>
      <c r="AL39" s="332">
        <f>COUNTIF('Data By District'!$F$7:$F$440,$B39&amp;"-"&amp;"Yes")</f>
        <v>2</v>
      </c>
      <c r="AM39" s="332">
        <f>COUNTIF('Data By District'!$G$7:$G$440,$B39&amp;"-"&amp;"Yes")</f>
        <v>0</v>
      </c>
      <c r="AN39" s="332">
        <f>COUNTIF('Data By District'!$H$7:$H$440,$B39&amp;"-"&amp;"Yes")</f>
        <v>0</v>
      </c>
      <c r="AO39" s="332">
        <f>COUNTIF('Data By District'!$I$7:$I$440,$B39&amp;"-"&amp;"Yes")</f>
        <v>0</v>
      </c>
      <c r="AP39" s="70">
        <f t="shared" ref="AP39:AP57" si="44">(C39-AR39)/C39</f>
        <v>3.6800226118854411E-2</v>
      </c>
      <c r="AQ39" s="55">
        <f t="shared" si="25"/>
        <v>0.64662189930334713</v>
      </c>
      <c r="AR39" s="50">
        <f t="shared" si="26"/>
        <v>2807998</v>
      </c>
      <c r="AS39" s="41">
        <f>SUMIF('Data By District'!$C$7:$C$440,$B39,'Data By District'!$O$7:$O$440)</f>
        <v>1234027</v>
      </c>
      <c r="AT39" s="41">
        <f>SUMIF('Data By District'!$C$7:$C$440,$B39,'Data By District'!$Q$7:$Q$440)</f>
        <v>1555364</v>
      </c>
      <c r="AU39" s="41">
        <f>SUMIF('Data By District'!$C$7:$C$440,$B39,'Data By District'!$S$7:$S$440)</f>
        <v>18607</v>
      </c>
      <c r="AV39" s="263">
        <f t="shared" ref="AV39:AV57" si="45">AS39/AR39</f>
        <v>0.43946861785514091</v>
      </c>
      <c r="AW39" s="24">
        <f t="shared" ref="AW39:AW57" si="46">AT39/AR39</f>
        <v>0.55390495292375563</v>
      </c>
      <c r="AX39" s="56">
        <f t="shared" ref="AX39:AX57" si="47">AU39/AR39</f>
        <v>6.6264292211034338E-3</v>
      </c>
      <c r="AY39" s="25">
        <f>COUNTIF('Data By District'!$AB$7:$AB$440,$B39&amp;"-"&amp;AY$6)</f>
        <v>3</v>
      </c>
      <c r="AZ39" s="25">
        <f>COUNTIF('Data By District'!$AB$7:$AB$440,$B39&amp;"-"&amp;AZ$6)</f>
        <v>10</v>
      </c>
      <c r="BA39" s="25">
        <f>COUNTIF('Data By District'!$AB$7:$AB$440,$B39&amp;"-"&amp;BA$6)</f>
        <v>0</v>
      </c>
      <c r="BB39" s="259">
        <f t="shared" si="27"/>
        <v>0.23076923076923078</v>
      </c>
      <c r="BC39" s="24">
        <f t="shared" si="28"/>
        <v>0.76923076923076927</v>
      </c>
      <c r="BD39" s="56">
        <f t="shared" si="29"/>
        <v>0</v>
      </c>
      <c r="BE39" s="259">
        <f t="shared" ref="BE39:BE57" si="48">ABS((AS39/$AR39)-(AY39/$S39))</f>
        <v>0.20869938708591013</v>
      </c>
      <c r="BF39" s="24">
        <f t="shared" ref="BF39:BF57" si="49">ABS((AT39/$AR39)-(AZ39/$S39))</f>
        <v>0.21532581630701364</v>
      </c>
      <c r="BG39" s="56">
        <f t="shared" ref="BG39:BG57" si="50">ABS((AU39/$AR39)-(BA39/$S39))</f>
        <v>6.6264292211034338E-3</v>
      </c>
      <c r="BH39" s="50">
        <f t="shared" si="30"/>
        <v>1815713</v>
      </c>
      <c r="BI39" s="41">
        <f>'Data By District'!AH307</f>
        <v>992285</v>
      </c>
      <c r="BJ39" s="41">
        <f>SUMIF('Data By District'!$C$7:$C$440,'Data By State'!$B39,'Data By District'!$AD$7:$AD$440)</f>
        <v>779652</v>
      </c>
      <c r="BK39" s="41">
        <f>SUMIF('Data By District'!$C$7:$C$440,'Data By State'!$B39,'Data By District'!$AE$7:$AE$440)</f>
        <v>155974</v>
      </c>
      <c r="BL39" s="50">
        <f>SUMIF('Data By District'!$C$7:$C$440,'Data By State'!$B39,'Data By District'!$AF$7:$AF$440)</f>
        <v>18607</v>
      </c>
      <c r="BM39" s="64">
        <f t="shared" si="31"/>
        <v>0.35337810069665293</v>
      </c>
      <c r="BN39" s="24">
        <f t="shared" si="33"/>
        <v>0.63179492831194128</v>
      </c>
      <c r="BO39" s="24">
        <f t="shared" si="34"/>
        <v>0.10028134893182561</v>
      </c>
      <c r="BP39" s="56">
        <f t="shared" si="35"/>
        <v>1</v>
      </c>
    </row>
    <row r="40" spans="1:68" ht="16.5" thickBot="1">
      <c r="A40" s="17" t="s">
        <v>97</v>
      </c>
      <c r="B40" s="26" t="s">
        <v>33</v>
      </c>
      <c r="C40" s="437">
        <v>248670</v>
      </c>
      <c r="D40" s="437">
        <v>567163</v>
      </c>
      <c r="E40" s="25">
        <f t="shared" si="36"/>
        <v>14</v>
      </c>
      <c r="F40" s="25">
        <f t="shared" si="37"/>
        <v>7</v>
      </c>
      <c r="G40" s="73">
        <f t="shared" si="18"/>
        <v>6</v>
      </c>
      <c r="H40" s="25">
        <f t="shared" si="19"/>
        <v>1</v>
      </c>
      <c r="I40" s="25">
        <f t="shared" si="20"/>
        <v>27</v>
      </c>
      <c r="J40" s="25">
        <f t="shared" si="21"/>
        <v>47</v>
      </c>
      <c r="K40" s="68">
        <f t="shared" si="22"/>
        <v>11</v>
      </c>
      <c r="L40" s="67">
        <f t="shared" si="38"/>
        <v>21.6</v>
      </c>
      <c r="M40" s="64">
        <f t="shared" si="23"/>
        <v>0.58033748774619121</v>
      </c>
      <c r="N40" s="419">
        <f>AVERAGEIF('Data By District'!$C$7:$C$441,B40,'Data By District'!$Y$7:$Y$441)</f>
        <v>0.17059556842401574</v>
      </c>
      <c r="O40" s="29">
        <f t="shared" si="39"/>
        <v>0</v>
      </c>
      <c r="P40" s="29">
        <f>SUMIF('Data By District'!$C$7:$C$440,B40,'Data By District'!$V$7:$V$440)/D40</f>
        <v>0.24349261147148174</v>
      </c>
      <c r="Q40" s="29">
        <f t="shared" si="40"/>
        <v>0.41470221578799216</v>
      </c>
      <c r="R40" s="70">
        <f t="shared" si="41"/>
        <v>0.43844538518909026</v>
      </c>
      <c r="S40" s="69">
        <f t="shared" si="42"/>
        <v>1</v>
      </c>
      <c r="T40" s="25">
        <f>COUNTIF('Data By District'!$AC$7:$AC$440,$B40&amp;"-"&amp;T$6)</f>
        <v>0</v>
      </c>
      <c r="U40" s="25">
        <f>COUNTIF('Data By District'!$AC$7:$AC$440,$B40&amp;"-"&amp;U$6)</f>
        <v>0</v>
      </c>
      <c r="V40" s="25">
        <f>COUNTIF('Data By District'!$AC$7:$AC$440,$B40&amp;"-"&amp;V$6)</f>
        <v>1</v>
      </c>
      <c r="W40" s="25">
        <f>COUNTIF('Data By District'!$AC$7:$AC$440,$B40&amp;"-"&amp;W$6)</f>
        <v>0</v>
      </c>
      <c r="X40" s="25">
        <f>COUNTIF('Data By District'!$AC$7:$AC$440,$B40&amp;"-"&amp;X$6)-(Y40)</f>
        <v>0</v>
      </c>
      <c r="Y40" s="25">
        <f>COUNTIF('Data By District'!$AA$7:$AA$440,$B40&amp;"-"&amp;"Yes")</f>
        <v>0</v>
      </c>
      <c r="Z40" s="348">
        <f t="shared" si="43"/>
        <v>0</v>
      </c>
      <c r="AA40" s="350">
        <f>COUNTIF('Data By District'!$M$7:$M$440, $B40&amp;"-"&amp;1)</f>
        <v>0</v>
      </c>
      <c r="AB40" s="331">
        <f>COUNTIFS('Data By District'!$K$7:$K$440,$B40&amp;"-"&amp;"Yes",'Data By District'!$AC$7:$AC$440,$B40&amp;"-"&amp;X$6)+COUNTIFS('Data By District'!$K$7:$K$440,$B40&amp;"-"&amp;"Yes",'Data By District'!$AC$7:$AC$440,$B40&amp;"-"&amp;W$6)</f>
        <v>0</v>
      </c>
      <c r="AC40" s="328">
        <f t="shared" si="32"/>
        <v>0</v>
      </c>
      <c r="AD40" s="332">
        <f>COUNTIF('Data By District'!$K$7:$K$440,$B40&amp;"-"&amp;"Yes")</f>
        <v>1</v>
      </c>
      <c r="AE40" s="332">
        <f t="shared" si="24"/>
        <v>0</v>
      </c>
      <c r="AF40" s="332">
        <f>COUNTIF('Data By District'!$J$7:$J$440,$B40&amp;"-"&amp;"Yes")</f>
        <v>1</v>
      </c>
      <c r="AG40" s="332">
        <f>COUNTIFS('Data By District'!$K$7:$K$440,$B40&amp;"-"&amp;"Yes",'Data By District'!$AB$7:$AB$440,$B40&amp;"-"&amp;"Dem")</f>
        <v>0</v>
      </c>
      <c r="AH40" s="332">
        <f>COUNTIFS('Data By District'!$K$7:$K$440,$B40&amp;"-"&amp;"Yes",'Data By District'!$AB$7:$AB$440,$B40&amp;"-"&amp;"Rep")</f>
        <v>1</v>
      </c>
      <c r="AI40" s="332">
        <f>COUNTIFS('Data By District'!$K$7:$K$440,$B40&amp;"-"&amp;"Yes",'Data By District'!$AB$7:$AB$440,$B40&amp;"-"&amp;"Dem",'Data By District'!$K$7:$K$440,$B40&amp;"-"&amp;"Yes",'Data By District'!$AC$7:$AC$440,$B40&amp;"-"&amp;W$6)+COUNTIFS('Data By District'!$K$7:$K$440,$B40&amp;"-"&amp;"Yes",'Data By District'!$AB$7:$AB$440,$B40&amp;"-"&amp;"Dem",'Data By District'!$K$7:$K$440,$B40&amp;"-"&amp;"Yes",'Data By District'!$AC$7:$AC$440,$B40&amp;"-"&amp;X$6)</f>
        <v>0</v>
      </c>
      <c r="AJ40" s="332">
        <f>COUNTIFS('Data By District'!$K$7:$K$440,$B40&amp;"-"&amp;"Yes",'Data By District'!$AB$7:$AB$440,$B40&amp;"-"&amp;"Rep",'Data By District'!$K$7:$K$440,$B40&amp;"-"&amp;"Yes",'Data By District'!$AC$7:$AC$440,$B40&amp;"-"&amp;W$6)+COUNTIFS('Data By District'!$K$7:$K$440,$B40&amp;"-"&amp;"Yes",'Data By District'!$AB$7:$AB$440,$B40&amp;"-"&amp;"Rep",'Data By District'!$K$7:$K$440,$B40&amp;"-"&amp;"Yes",'Data By District'!$AC$7:$AC$440,$B40&amp;"-"&amp;X$6)</f>
        <v>0</v>
      </c>
      <c r="AK40" s="331">
        <f>COUNTIF('Data By District'!$E$7:$E$440,$B40&amp;"-"&amp;"Yes")</f>
        <v>0</v>
      </c>
      <c r="AL40" s="332">
        <f>COUNTIF('Data By District'!$F$7:$F$440,$B40&amp;"-"&amp;"Yes")</f>
        <v>0</v>
      </c>
      <c r="AM40" s="332">
        <f>COUNTIF('Data By District'!$G$7:$G$440,$B40&amp;"-"&amp;"Yes")</f>
        <v>0</v>
      </c>
      <c r="AN40" s="332">
        <f>COUNTIF('Data By District'!$H$7:$H$440,$B40&amp;"-"&amp;"Yes")</f>
        <v>0</v>
      </c>
      <c r="AO40" s="332">
        <f>COUNTIF('Data By District'!$I$7:$I$440,$B40&amp;"-"&amp;"Yes")</f>
        <v>0</v>
      </c>
      <c r="AP40" s="70">
        <f t="shared" si="44"/>
        <v>0</v>
      </c>
      <c r="AQ40" s="55">
        <f t="shared" si="25"/>
        <v>0.75805284111473037</v>
      </c>
      <c r="AR40" s="50">
        <f t="shared" si="26"/>
        <v>248670</v>
      </c>
      <c r="AS40" s="41">
        <f>SUMIF('Data By District'!$C$7:$C$440,$B40,'Data By District'!$O$7:$O$440)</f>
        <v>95678</v>
      </c>
      <c r="AT40" s="41">
        <f>SUMIF('Data By District'!$C$7:$C$440,$B40,'Data By District'!$Q$7:$Q$440)</f>
        <v>138100</v>
      </c>
      <c r="AU40" s="41">
        <f>SUMIF('Data By District'!$C$7:$C$440,$B40,'Data By District'!$S$7:$S$440)</f>
        <v>14892</v>
      </c>
      <c r="AV40" s="263">
        <f t="shared" si="45"/>
        <v>0.384758917440785</v>
      </c>
      <c r="AW40" s="24">
        <f t="shared" si="46"/>
        <v>0.55535448586480074</v>
      </c>
      <c r="AX40" s="56">
        <f t="shared" si="47"/>
        <v>5.9886596694414283E-2</v>
      </c>
      <c r="AY40" s="25">
        <f>COUNTIF('Data By District'!$AB$7:$AB$440,$B40&amp;"-"&amp;AY$6)</f>
        <v>0</v>
      </c>
      <c r="AZ40" s="25">
        <f>COUNTIF('Data By District'!$AB$7:$AB$440,$B40&amp;"-"&amp;AZ$6)</f>
        <v>1</v>
      </c>
      <c r="BA40" s="25">
        <f>COUNTIF('Data By District'!$AB$7:$AB$440,$B40&amp;"-"&amp;BA$6)</f>
        <v>0</v>
      </c>
      <c r="BB40" s="259">
        <f t="shared" si="27"/>
        <v>0</v>
      </c>
      <c r="BC40" s="24">
        <f t="shared" si="28"/>
        <v>1</v>
      </c>
      <c r="BD40" s="56">
        <f t="shared" si="29"/>
        <v>0</v>
      </c>
      <c r="BE40" s="259">
        <f t="shared" si="48"/>
        <v>0.384758917440785</v>
      </c>
      <c r="BF40" s="24">
        <f t="shared" si="49"/>
        <v>0.44464551413519926</v>
      </c>
      <c r="BG40" s="56">
        <f t="shared" si="50"/>
        <v>5.9886596694414283E-2</v>
      </c>
      <c r="BH40" s="50">
        <f t="shared" si="30"/>
        <v>188505</v>
      </c>
      <c r="BI40" s="41">
        <f>'Data By District'!AH308</f>
        <v>60165</v>
      </c>
      <c r="BJ40" s="41">
        <f>SUMIF('Data By District'!$C$7:$C$440,'Data By State'!$B40,'Data By District'!$AD$7:$AD$440)</f>
        <v>95678</v>
      </c>
      <c r="BK40" s="41">
        <f>SUMIF('Data By District'!$C$7:$C$440,'Data By State'!$B40,'Data By District'!$AE$7:$AE$440)</f>
        <v>0</v>
      </c>
      <c r="BL40" s="50">
        <f>SUMIF('Data By District'!$C$7:$C$440,'Data By State'!$B40,'Data By District'!$AF$7:$AF$440)</f>
        <v>14892</v>
      </c>
      <c r="BM40" s="64">
        <f t="shared" si="31"/>
        <v>0.24194715888526963</v>
      </c>
      <c r="BN40" s="24">
        <f t="shared" si="33"/>
        <v>1</v>
      </c>
      <c r="BO40" s="24">
        <f t="shared" si="34"/>
        <v>0</v>
      </c>
      <c r="BP40" s="56" t="s">
        <v>252</v>
      </c>
    </row>
    <row r="41" spans="1:68" ht="16.5" thickBot="1">
      <c r="A41" s="17" t="s">
        <v>98</v>
      </c>
      <c r="B41" s="26" t="s">
        <v>34</v>
      </c>
      <c r="C41" s="437">
        <v>3055913</v>
      </c>
      <c r="D41" s="437">
        <v>8700170</v>
      </c>
      <c r="E41" s="25">
        <f t="shared" si="36"/>
        <v>38</v>
      </c>
      <c r="F41" s="25">
        <f t="shared" si="37"/>
        <v>36</v>
      </c>
      <c r="G41" s="73">
        <f t="shared" si="18"/>
        <v>37</v>
      </c>
      <c r="H41" s="25">
        <f t="shared" si="19"/>
        <v>39</v>
      </c>
      <c r="I41" s="25">
        <f t="shared" si="20"/>
        <v>31</v>
      </c>
      <c r="J41" s="25">
        <f t="shared" si="21"/>
        <v>19</v>
      </c>
      <c r="K41" s="68">
        <f t="shared" si="22"/>
        <v>32</v>
      </c>
      <c r="L41" s="67">
        <f t="shared" si="38"/>
        <v>31.4</v>
      </c>
      <c r="M41" s="64">
        <f t="shared" si="23"/>
        <v>0.39900962397548462</v>
      </c>
      <c r="N41" s="419">
        <f>AVERAGEIF('Data By District'!$C$7:$C$441,B41,'Data By District'!$Y$7:$Y$441)</f>
        <v>0.38381788431640662</v>
      </c>
      <c r="O41" s="29">
        <f t="shared" si="39"/>
        <v>0.9375</v>
      </c>
      <c r="P41" s="29">
        <f>SUMIF('Data By District'!$C$7:$C$440,B41,'Data By District'!$V$7:$V$440)/D41</f>
        <v>0.23390623401611693</v>
      </c>
      <c r="Q41" s="29">
        <f t="shared" si="40"/>
        <v>0.15144646383840404</v>
      </c>
      <c r="R41" s="70">
        <f t="shared" si="41"/>
        <v>0.34482946884945925</v>
      </c>
      <c r="S41" s="69">
        <f t="shared" si="42"/>
        <v>16</v>
      </c>
      <c r="T41" s="25">
        <f>COUNTIF('Data By District'!$AC$7:$AC$440,$B41&amp;"-"&amp;T$6)</f>
        <v>0</v>
      </c>
      <c r="U41" s="25">
        <f>COUNTIF('Data By District'!$AC$7:$AC$440,$B41&amp;"-"&amp;U$6)</f>
        <v>0</v>
      </c>
      <c r="V41" s="25">
        <f>COUNTIF('Data By District'!$AC$7:$AC$440,$B41&amp;"-"&amp;V$6)</f>
        <v>1</v>
      </c>
      <c r="W41" s="25">
        <f>COUNTIF('Data By District'!$AC$7:$AC$440,$B41&amp;"-"&amp;W$6)</f>
        <v>12</v>
      </c>
      <c r="X41" s="25">
        <f>COUNTIF('Data By District'!$AC$7:$AC$440,$B41&amp;"-"&amp;X$6)-(Y41)</f>
        <v>2</v>
      </c>
      <c r="Y41" s="25">
        <f>COUNTIF('Data By District'!$AA$7:$AA$440,$B41&amp;"-"&amp;"Yes")</f>
        <v>1</v>
      </c>
      <c r="Z41" s="348">
        <f t="shared" si="43"/>
        <v>6.25E-2</v>
      </c>
      <c r="AA41" s="350">
        <f>COUNTIF('Data By District'!$M$7:$M$440, $B41&amp;"-"&amp;1)</f>
        <v>0</v>
      </c>
      <c r="AB41" s="331">
        <f>COUNTIFS('Data By District'!$K$7:$K$440,$B41&amp;"-"&amp;"Yes",'Data By District'!$AC$7:$AC$440,$B41&amp;"-"&amp;X$6)+COUNTIFS('Data By District'!$K$7:$K$440,$B41&amp;"-"&amp;"Yes",'Data By District'!$AC$7:$AC$440,$B41&amp;"-"&amp;W$6)</f>
        <v>15</v>
      </c>
      <c r="AC41" s="328">
        <f t="shared" si="32"/>
        <v>0.9375</v>
      </c>
      <c r="AD41" s="332">
        <f>COUNTIF('Data By District'!$K$7:$K$440,$B41&amp;"-"&amp;"Yes")</f>
        <v>16</v>
      </c>
      <c r="AE41" s="332">
        <f t="shared" si="24"/>
        <v>0</v>
      </c>
      <c r="AF41" s="332">
        <f>COUNTIF('Data By District'!$J$7:$J$440,$B41&amp;"-"&amp;"Yes")</f>
        <v>16</v>
      </c>
      <c r="AG41" s="332">
        <f>COUNTIFS('Data By District'!$K$7:$K$440,$B41&amp;"-"&amp;"Yes",'Data By District'!$AB$7:$AB$440,$B41&amp;"-"&amp;"Dem")</f>
        <v>4</v>
      </c>
      <c r="AH41" s="332">
        <f>COUNTIFS('Data By District'!$K$7:$K$440,$B41&amp;"-"&amp;"Yes",'Data By District'!$AB$7:$AB$440,$B41&amp;"-"&amp;"Rep")</f>
        <v>12</v>
      </c>
      <c r="AI41" s="332">
        <f>COUNTIFS('Data By District'!$K$7:$K$440,$B41&amp;"-"&amp;"Yes",'Data By District'!$AB$7:$AB$440,$B41&amp;"-"&amp;"Dem",'Data By District'!$K$7:$K$440,$B41&amp;"-"&amp;"Yes",'Data By District'!$AC$7:$AC$440,$B41&amp;"-"&amp;W$6)+COUNTIFS('Data By District'!$K$7:$K$440,$B41&amp;"-"&amp;"Yes",'Data By District'!$AB$7:$AB$440,$B41&amp;"-"&amp;"Dem",'Data By District'!$K$7:$K$440,$B41&amp;"-"&amp;"Yes",'Data By District'!$AC$7:$AC$440,$B41&amp;"-"&amp;X$6)</f>
        <v>4</v>
      </c>
      <c r="AJ41" s="332">
        <f>COUNTIFS('Data By District'!$K$7:$K$440,$B41&amp;"-"&amp;"Yes",'Data By District'!$AB$7:$AB$440,$B41&amp;"-"&amp;"Rep",'Data By District'!$K$7:$K$440,$B41&amp;"-"&amp;"Yes",'Data By District'!$AC$7:$AC$440,$B41&amp;"-"&amp;W$6)+COUNTIFS('Data By District'!$K$7:$K$440,$B41&amp;"-"&amp;"Yes",'Data By District'!$AB$7:$AB$440,$B41&amp;"-"&amp;"Rep",'Data By District'!$K$7:$K$440,$B41&amp;"-"&amp;"Yes",'Data By District'!$AC$7:$AC$440,$B41&amp;"-"&amp;X$6)</f>
        <v>11</v>
      </c>
      <c r="AK41" s="331">
        <f>COUNTIF('Data By District'!$E$7:$E$440,$B41&amp;"-"&amp;"Yes")</f>
        <v>3</v>
      </c>
      <c r="AL41" s="332">
        <f>COUNTIF('Data By District'!$F$7:$F$440,$B41&amp;"-"&amp;"Yes")</f>
        <v>2</v>
      </c>
      <c r="AM41" s="332">
        <f>COUNTIF('Data By District'!$G$7:$G$440,$B41&amp;"-"&amp;"Yes")</f>
        <v>0</v>
      </c>
      <c r="AN41" s="332">
        <f>COUNTIF('Data By District'!$H$7:$H$440,$B41&amp;"-"&amp;"Yes")</f>
        <v>0</v>
      </c>
      <c r="AO41" s="332">
        <f>COUNTIF('Data By District'!$I$7:$I$440,$B41&amp;"-"&amp;"Yes")</f>
        <v>0</v>
      </c>
      <c r="AP41" s="70">
        <f t="shared" si="44"/>
        <v>1.8272117039981179E-2</v>
      </c>
      <c r="AQ41" s="55">
        <f t="shared" si="25"/>
        <v>0.84789080272993178</v>
      </c>
      <c r="AR41" s="50">
        <f t="shared" si="26"/>
        <v>3000075</v>
      </c>
      <c r="AS41" s="41">
        <f>SUMIF('Data By District'!$C$7:$C$440,$B41,'Data By District'!$O$7:$O$440)</f>
        <v>1179587</v>
      </c>
      <c r="AT41" s="41">
        <f>SUMIF('Data By District'!$C$7:$C$440,$B41,'Data By District'!$Q$7:$Q$440)</f>
        <v>1770923</v>
      </c>
      <c r="AU41" s="41">
        <f>SUMIF('Data By District'!$C$7:$C$440,$B41,'Data By District'!$S$7:$S$440)</f>
        <v>49565</v>
      </c>
      <c r="AV41" s="263">
        <f t="shared" si="45"/>
        <v>0.39318583702074117</v>
      </c>
      <c r="AW41" s="24">
        <f t="shared" si="46"/>
        <v>0.59029290934393308</v>
      </c>
      <c r="AX41" s="56">
        <f t="shared" si="47"/>
        <v>1.6521253635325785E-2</v>
      </c>
      <c r="AY41" s="25">
        <f>COUNTIF('Data By District'!$AB$7:$AB$440,$B41&amp;"-"&amp;AY$6)</f>
        <v>4</v>
      </c>
      <c r="AZ41" s="25">
        <f>COUNTIF('Data By District'!$AB$7:$AB$440,$B41&amp;"-"&amp;AZ$6)</f>
        <v>12</v>
      </c>
      <c r="BA41" s="25">
        <f>COUNTIF('Data By District'!$AB$7:$AB$440,$B41&amp;"-"&amp;BA$6)</f>
        <v>0</v>
      </c>
      <c r="BB41" s="259">
        <f t="shared" si="27"/>
        <v>0.25</v>
      </c>
      <c r="BC41" s="24">
        <f t="shared" si="28"/>
        <v>0.75</v>
      </c>
      <c r="BD41" s="56">
        <f t="shared" si="29"/>
        <v>0</v>
      </c>
      <c r="BE41" s="259">
        <f t="shared" si="48"/>
        <v>0.14318583702074117</v>
      </c>
      <c r="BF41" s="24">
        <f t="shared" si="49"/>
        <v>0.15970709065606692</v>
      </c>
      <c r="BG41" s="56">
        <f t="shared" si="50"/>
        <v>1.6521253635325785E-2</v>
      </c>
      <c r="BH41" s="50">
        <f t="shared" si="30"/>
        <v>2543736</v>
      </c>
      <c r="BI41" s="41">
        <f>'Data By District'!AH326</f>
        <v>456339</v>
      </c>
      <c r="BJ41" s="41">
        <f>SUMIF('Data By District'!$C$7:$C$440,'Data By State'!$B41,'Data By District'!$AD$7:$AD$440)</f>
        <v>721613</v>
      </c>
      <c r="BK41" s="41">
        <f>SUMIF('Data By District'!$C$7:$C$440,'Data By State'!$B41,'Data By District'!$AE$7:$AE$440)</f>
        <v>193873</v>
      </c>
      <c r="BL41" s="50">
        <f>SUMIF('Data By District'!$C$7:$C$440,'Data By State'!$B41,'Data By District'!$AF$7:$AF$440)</f>
        <v>49565</v>
      </c>
      <c r="BM41" s="64">
        <f t="shared" si="31"/>
        <v>0.15210919727006825</v>
      </c>
      <c r="BN41" s="24">
        <f t="shared" si="33"/>
        <v>0.61175055337164619</v>
      </c>
      <c r="BO41" s="24">
        <f t="shared" si="34"/>
        <v>0.1094756801961463</v>
      </c>
      <c r="BP41" s="56">
        <f t="shared" si="35"/>
        <v>1</v>
      </c>
    </row>
    <row r="42" spans="1:68" ht="16.5" thickBot="1">
      <c r="A42" s="17" t="s">
        <v>99</v>
      </c>
      <c r="B42" s="26" t="s">
        <v>35</v>
      </c>
      <c r="C42" s="437">
        <v>824831</v>
      </c>
      <c r="D42" s="437">
        <v>2769828</v>
      </c>
      <c r="E42" s="25">
        <f t="shared" si="36"/>
        <v>50</v>
      </c>
      <c r="F42" s="25">
        <f t="shared" si="37"/>
        <v>50</v>
      </c>
      <c r="G42" s="73">
        <f t="shared" si="18"/>
        <v>47</v>
      </c>
      <c r="H42" s="25">
        <f t="shared" si="19"/>
        <v>41</v>
      </c>
      <c r="I42" s="25">
        <f t="shared" si="20"/>
        <v>50</v>
      </c>
      <c r="J42" s="25">
        <f t="shared" si="21"/>
        <v>35</v>
      </c>
      <c r="K42" s="68">
        <f t="shared" si="22"/>
        <v>50</v>
      </c>
      <c r="L42" s="67">
        <f t="shared" si="38"/>
        <v>44.6</v>
      </c>
      <c r="M42" s="64">
        <f t="shared" si="23"/>
        <v>0.30045423295071738</v>
      </c>
      <c r="N42" s="419">
        <f>AVERAGEIF('Data By District'!$C$7:$C$441,B42,'Data By District'!$Y$7:$Y$441)</f>
        <v>0.5451644730426326</v>
      </c>
      <c r="O42" s="29">
        <f t="shared" si="39"/>
        <v>1</v>
      </c>
      <c r="P42" s="29">
        <f>SUMIF('Data By District'!$C$7:$C$440,B42,'Data By District'!$V$7:$V$440)/D42</f>
        <v>0.16521386887561249</v>
      </c>
      <c r="Q42" s="29">
        <f t="shared" si="40"/>
        <v>0.28299209995500552</v>
      </c>
      <c r="R42" s="70">
        <f t="shared" si="41"/>
        <v>0.23590417888764212</v>
      </c>
      <c r="S42" s="69">
        <f t="shared" si="42"/>
        <v>5</v>
      </c>
      <c r="T42" s="25">
        <f>COUNTIF('Data By District'!$AC$7:$AC$440,$B42&amp;"-"&amp;T$6)</f>
        <v>0</v>
      </c>
      <c r="U42" s="25">
        <f>COUNTIF('Data By District'!$AC$7:$AC$440,$B42&amp;"-"&amp;U$6)</f>
        <v>0</v>
      </c>
      <c r="V42" s="25">
        <f>COUNTIF('Data By District'!$AC$7:$AC$440,$B42&amp;"-"&amp;V$6)</f>
        <v>0</v>
      </c>
      <c r="W42" s="25">
        <f>COUNTIF('Data By District'!$AC$7:$AC$440,$B42&amp;"-"&amp;W$6)</f>
        <v>1</v>
      </c>
      <c r="X42" s="25">
        <f>COUNTIF('Data By District'!$AC$7:$AC$440,$B42&amp;"-"&amp;X$6)-(Y42)</f>
        <v>3</v>
      </c>
      <c r="Y42" s="25">
        <f>COUNTIF('Data By District'!$AA$7:$AA$440,$B42&amp;"-"&amp;"Yes")</f>
        <v>1</v>
      </c>
      <c r="Z42" s="348">
        <f t="shared" si="43"/>
        <v>0.2</v>
      </c>
      <c r="AA42" s="350">
        <f>COUNTIF('Data By District'!$M$7:$M$440, $B42&amp;"-"&amp;1)</f>
        <v>0</v>
      </c>
      <c r="AB42" s="331">
        <f>COUNTIFS('Data By District'!$K$7:$K$440,$B42&amp;"-"&amp;"Yes",'Data By District'!$AC$7:$AC$440,$B42&amp;"-"&amp;X$6)+COUNTIFS('Data By District'!$K$7:$K$440,$B42&amp;"-"&amp;"Yes",'Data By District'!$AC$7:$AC$440,$B42&amp;"-"&amp;W$6)</f>
        <v>4</v>
      </c>
      <c r="AC42" s="328">
        <f t="shared" si="32"/>
        <v>1</v>
      </c>
      <c r="AD42" s="332">
        <f>COUNTIF('Data By District'!$K$7:$K$440,$B42&amp;"-"&amp;"Yes")</f>
        <v>4</v>
      </c>
      <c r="AE42" s="332">
        <f t="shared" si="24"/>
        <v>0</v>
      </c>
      <c r="AF42" s="332">
        <f>COUNTIF('Data By District'!$J$7:$J$440,$B42&amp;"-"&amp;"Yes")</f>
        <v>4</v>
      </c>
      <c r="AG42" s="332">
        <f>COUNTIFS('Data By District'!$K$7:$K$440,$B42&amp;"-"&amp;"Yes",'Data By District'!$AB$7:$AB$440,$B42&amp;"-"&amp;"Dem")</f>
        <v>0</v>
      </c>
      <c r="AH42" s="332">
        <f>COUNTIFS('Data By District'!$K$7:$K$440,$B42&amp;"-"&amp;"Yes",'Data By District'!$AB$7:$AB$440,$B42&amp;"-"&amp;"Rep")</f>
        <v>4</v>
      </c>
      <c r="AI42" s="332">
        <f>COUNTIFS('Data By District'!$K$7:$K$440,$B42&amp;"-"&amp;"Yes",'Data By District'!$AB$7:$AB$440,$B42&amp;"-"&amp;"Dem",'Data By District'!$K$7:$K$440,$B42&amp;"-"&amp;"Yes",'Data By District'!$AC$7:$AC$440,$B42&amp;"-"&amp;W$6)+COUNTIFS('Data By District'!$K$7:$K$440,$B42&amp;"-"&amp;"Yes",'Data By District'!$AB$7:$AB$440,$B42&amp;"-"&amp;"Dem",'Data By District'!$K$7:$K$440,$B42&amp;"-"&amp;"Yes",'Data By District'!$AC$7:$AC$440,$B42&amp;"-"&amp;X$6)</f>
        <v>0</v>
      </c>
      <c r="AJ42" s="332">
        <f>COUNTIFS('Data By District'!$K$7:$K$440,$B42&amp;"-"&amp;"Yes",'Data By District'!$AB$7:$AB$440,$B42&amp;"-"&amp;"Rep",'Data By District'!$K$7:$K$440,$B42&amp;"-"&amp;"Yes",'Data By District'!$AC$7:$AC$440,$B42&amp;"-"&amp;W$6)+COUNTIFS('Data By District'!$K$7:$K$440,$B42&amp;"-"&amp;"Yes",'Data By District'!$AB$7:$AB$440,$B42&amp;"-"&amp;"Rep",'Data By District'!$K$7:$K$440,$B42&amp;"-"&amp;"Yes",'Data By District'!$AC$7:$AC$440,$B42&amp;"-"&amp;X$6)</f>
        <v>4</v>
      </c>
      <c r="AK42" s="331">
        <f>COUNTIF('Data By District'!$E$7:$E$440,$B42&amp;"-"&amp;"Yes")</f>
        <v>0</v>
      </c>
      <c r="AL42" s="332">
        <f>COUNTIF('Data By District'!$F$7:$F$440,$B42&amp;"-"&amp;"Yes")</f>
        <v>0</v>
      </c>
      <c r="AM42" s="332">
        <f>COUNTIF('Data By District'!$G$7:$G$440,$B42&amp;"-"&amp;"Yes")</f>
        <v>0</v>
      </c>
      <c r="AN42" s="332">
        <f>COUNTIF('Data By District'!$H$7:$H$440,$B42&amp;"-"&amp;"Yes")</f>
        <v>0</v>
      </c>
      <c r="AO42" s="332">
        <f>COUNTIF('Data By District'!$I$7:$I$440,$B42&amp;"-"&amp;"Yes")</f>
        <v>2</v>
      </c>
      <c r="AP42" s="70">
        <f t="shared" si="44"/>
        <v>0.2078207535846737</v>
      </c>
      <c r="AQ42" s="55">
        <f t="shared" si="25"/>
        <v>0.30832213573630196</v>
      </c>
      <c r="AR42" s="50">
        <f t="shared" si="26"/>
        <v>653414</v>
      </c>
      <c r="AS42" s="41">
        <f>SUMIF('Data By District'!$C$7:$C$440,$B42,'Data By District'!$O$7:$O$440)</f>
        <v>174022</v>
      </c>
      <c r="AT42" s="41">
        <f>SUMIF('Data By District'!$C$7:$C$440,$B42,'Data By District'!$Q$7:$Q$440)</f>
        <v>457614</v>
      </c>
      <c r="AU42" s="41">
        <f>SUMIF('Data By District'!$C$7:$C$440,$B42,'Data By District'!$S$7:$S$440)</f>
        <v>21778</v>
      </c>
      <c r="AV42" s="263">
        <f t="shared" si="45"/>
        <v>0.26632732081038973</v>
      </c>
      <c r="AW42" s="24">
        <f t="shared" si="46"/>
        <v>0.70034312090037865</v>
      </c>
      <c r="AX42" s="56">
        <f t="shared" si="47"/>
        <v>3.3329558289231634E-2</v>
      </c>
      <c r="AY42" s="25">
        <f>COUNTIF('Data By District'!$AB$7:$AB$440,$B42&amp;"-"&amp;AY$6)</f>
        <v>0</v>
      </c>
      <c r="AZ42" s="25">
        <f>COUNTIF('Data By District'!$AB$7:$AB$440,$B42&amp;"-"&amp;AZ$6)</f>
        <v>5</v>
      </c>
      <c r="BA42" s="25">
        <f>COUNTIF('Data By District'!$AB$7:$AB$440,$B42&amp;"-"&amp;BA$6)</f>
        <v>0</v>
      </c>
      <c r="BB42" s="259">
        <f t="shared" si="27"/>
        <v>0</v>
      </c>
      <c r="BC42" s="24">
        <f t="shared" si="28"/>
        <v>1</v>
      </c>
      <c r="BD42" s="56">
        <f t="shared" si="29"/>
        <v>0</v>
      </c>
      <c r="BE42" s="259">
        <f t="shared" si="48"/>
        <v>0.26632732081038973</v>
      </c>
      <c r="BF42" s="24">
        <f t="shared" si="49"/>
        <v>0.29965687909962135</v>
      </c>
      <c r="BG42" s="56">
        <f t="shared" si="50"/>
        <v>3.3329558289231634E-2</v>
      </c>
      <c r="BH42" s="50">
        <f t="shared" si="30"/>
        <v>201462</v>
      </c>
      <c r="BI42" s="41">
        <f>'Data By District'!AH331</f>
        <v>451952</v>
      </c>
      <c r="BJ42" s="41">
        <f>SUMIF('Data By District'!$C$7:$C$440,'Data By State'!$B42,'Data By District'!$AD$7:$AD$440)</f>
        <v>174022</v>
      </c>
      <c r="BK42" s="41">
        <f>SUMIF('Data By District'!$C$7:$C$440,'Data By State'!$B42,'Data By District'!$AE$7:$AE$440)</f>
        <v>0</v>
      </c>
      <c r="BL42" s="50">
        <f>SUMIF('Data By District'!$C$7:$C$440,'Data By State'!$B42,'Data By District'!$AF$7:$AF$440)</f>
        <v>21778</v>
      </c>
      <c r="BM42" s="64">
        <f t="shared" si="31"/>
        <v>0.69167786426369804</v>
      </c>
      <c r="BN42" s="24">
        <f t="shared" si="33"/>
        <v>1</v>
      </c>
      <c r="BO42" s="24">
        <f t="shared" si="34"/>
        <v>0</v>
      </c>
      <c r="BP42" s="56">
        <f t="shared" si="35"/>
        <v>1</v>
      </c>
    </row>
    <row r="43" spans="1:68" ht="16.5" thickBot="1">
      <c r="A43" s="17" t="s">
        <v>100</v>
      </c>
      <c r="B43" s="26" t="s">
        <v>36</v>
      </c>
      <c r="C43" s="437">
        <v>1469717</v>
      </c>
      <c r="D43" s="437">
        <v>2881903</v>
      </c>
      <c r="E43" s="25">
        <f t="shared" si="36"/>
        <v>13</v>
      </c>
      <c r="F43" s="25">
        <f t="shared" si="37"/>
        <v>24</v>
      </c>
      <c r="G43" s="73">
        <f t="shared" si="18"/>
        <v>28</v>
      </c>
      <c r="H43" s="25">
        <f t="shared" si="19"/>
        <v>33</v>
      </c>
      <c r="I43" s="25">
        <f t="shared" si="20"/>
        <v>2</v>
      </c>
      <c r="J43" s="25">
        <f t="shared" si="21"/>
        <v>33</v>
      </c>
      <c r="K43" s="68">
        <f t="shared" si="22"/>
        <v>5</v>
      </c>
      <c r="L43" s="67">
        <f t="shared" si="38"/>
        <v>19.600000000000001</v>
      </c>
      <c r="M43" s="64">
        <f t="shared" si="23"/>
        <v>0.4570172026383344</v>
      </c>
      <c r="N43" s="419">
        <f>AVERAGEIF('Data By District'!$C$7:$C$441,B43,'Data By District'!$Y$7:$Y$441)</f>
        <v>0.31145853203063528</v>
      </c>
      <c r="O43" s="29">
        <f t="shared" si="39"/>
        <v>0.8</v>
      </c>
      <c r="P43" s="29">
        <f>SUMIF('Data By District'!$C$7:$C$440,B43,'Data By District'!$V$7:$V$440)/D43</f>
        <v>0.31462821614745534</v>
      </c>
      <c r="Q43" s="29">
        <f t="shared" si="40"/>
        <v>0.23271188707260351</v>
      </c>
      <c r="R43" s="70">
        <f t="shared" si="41"/>
        <v>0.50338335467918249</v>
      </c>
      <c r="S43" s="69">
        <f t="shared" si="42"/>
        <v>5</v>
      </c>
      <c r="T43" s="25">
        <f>COUNTIF('Data By District'!$AC$7:$AC$440,$B43&amp;"-"&amp;T$6)</f>
        <v>0</v>
      </c>
      <c r="U43" s="25">
        <f>COUNTIF('Data By District'!$AC$7:$AC$440,$B43&amp;"-"&amp;U$6)</f>
        <v>0</v>
      </c>
      <c r="V43" s="25">
        <f>COUNTIF('Data By District'!$AC$7:$AC$440,$B43&amp;"-"&amp;V$6)</f>
        <v>1</v>
      </c>
      <c r="W43" s="25">
        <f>COUNTIF('Data By District'!$AC$7:$AC$440,$B43&amp;"-"&amp;W$6)</f>
        <v>2</v>
      </c>
      <c r="X43" s="25">
        <f>COUNTIF('Data By District'!$AC$7:$AC$440,$B43&amp;"-"&amp;X$6)-(Y43)</f>
        <v>2</v>
      </c>
      <c r="Y43" s="25">
        <f>COUNTIF('Data By District'!$AA$7:$AA$440,$B43&amp;"-"&amp;"Yes")</f>
        <v>0</v>
      </c>
      <c r="Z43" s="348">
        <f t="shared" si="43"/>
        <v>0</v>
      </c>
      <c r="AA43" s="350">
        <f>COUNTIF('Data By District'!$M$7:$M$440, $B43&amp;"-"&amp;1)</f>
        <v>0</v>
      </c>
      <c r="AB43" s="331">
        <f>COUNTIFS('Data By District'!$K$7:$K$440,$B43&amp;"-"&amp;"Yes",'Data By District'!$AC$7:$AC$440,$B43&amp;"-"&amp;X$6)+COUNTIFS('Data By District'!$K$7:$K$440,$B43&amp;"-"&amp;"Yes",'Data By District'!$AC$7:$AC$440,$B43&amp;"-"&amp;W$6)</f>
        <v>4</v>
      </c>
      <c r="AC43" s="328">
        <f t="shared" si="32"/>
        <v>0.8</v>
      </c>
      <c r="AD43" s="332">
        <f>COUNTIF('Data By District'!$K$7:$K$440,$B43&amp;"-"&amp;"Yes")</f>
        <v>5</v>
      </c>
      <c r="AE43" s="332">
        <f t="shared" si="24"/>
        <v>0</v>
      </c>
      <c r="AF43" s="332">
        <f>COUNTIF('Data By District'!$J$7:$J$440,$B43&amp;"-"&amp;"Yes")</f>
        <v>5</v>
      </c>
      <c r="AG43" s="332">
        <f>COUNTIFS('Data By District'!$K$7:$K$440,$B43&amp;"-"&amp;"Yes",'Data By District'!$AB$7:$AB$440,$B43&amp;"-"&amp;"Dem")</f>
        <v>4</v>
      </c>
      <c r="AH43" s="332">
        <f>COUNTIFS('Data By District'!$K$7:$K$440,$B43&amp;"-"&amp;"Yes",'Data By District'!$AB$7:$AB$440,$B43&amp;"-"&amp;"Rep")</f>
        <v>1</v>
      </c>
      <c r="AI43" s="332">
        <f>COUNTIFS('Data By District'!$K$7:$K$440,$B43&amp;"-"&amp;"Yes",'Data By District'!$AB$7:$AB$440,$B43&amp;"-"&amp;"Dem",'Data By District'!$K$7:$K$440,$B43&amp;"-"&amp;"Yes",'Data By District'!$AC$7:$AC$440,$B43&amp;"-"&amp;W$6)+COUNTIFS('Data By District'!$K$7:$K$440,$B43&amp;"-"&amp;"Yes",'Data By District'!$AB$7:$AB$440,$B43&amp;"-"&amp;"Dem",'Data By District'!$K$7:$K$440,$B43&amp;"-"&amp;"Yes",'Data By District'!$AC$7:$AC$440,$B43&amp;"-"&amp;X$6)</f>
        <v>3</v>
      </c>
      <c r="AJ43" s="332">
        <f>COUNTIFS('Data By District'!$K$7:$K$440,$B43&amp;"-"&amp;"Yes",'Data By District'!$AB$7:$AB$440,$B43&amp;"-"&amp;"Rep",'Data By District'!$K$7:$K$440,$B43&amp;"-"&amp;"Yes",'Data By District'!$AC$7:$AC$440,$B43&amp;"-"&amp;W$6)+COUNTIFS('Data By District'!$K$7:$K$440,$B43&amp;"-"&amp;"Yes",'Data By District'!$AB$7:$AB$440,$B43&amp;"-"&amp;"Rep",'Data By District'!$K$7:$K$440,$B43&amp;"-"&amp;"Yes",'Data By District'!$AC$7:$AC$440,$B43&amp;"-"&amp;X$6)</f>
        <v>1</v>
      </c>
      <c r="AK43" s="331">
        <f>COUNTIF('Data By District'!$E$7:$E$440,$B43&amp;"-"&amp;"Yes")</f>
        <v>1</v>
      </c>
      <c r="AL43" s="332">
        <f>COUNTIF('Data By District'!$F$7:$F$440,$B43&amp;"-"&amp;"Yes")</f>
        <v>0</v>
      </c>
      <c r="AM43" s="332">
        <f>COUNTIF('Data By District'!$G$7:$G$440,$B43&amp;"-"&amp;"Yes")</f>
        <v>0</v>
      </c>
      <c r="AN43" s="332">
        <f>COUNTIF('Data By District'!$H$7:$H$440,$B43&amp;"-"&amp;"Yes")</f>
        <v>0</v>
      </c>
      <c r="AO43" s="332">
        <f>COUNTIF('Data By District'!$I$7:$I$440,$B43&amp;"-"&amp;"Yes")</f>
        <v>0</v>
      </c>
      <c r="AP43" s="70">
        <f t="shared" si="44"/>
        <v>1.2937864908686503E-2</v>
      </c>
      <c r="AQ43" s="55">
        <f t="shared" si="25"/>
        <v>0.78746979048763976</v>
      </c>
      <c r="AR43" s="50">
        <f t="shared" si="26"/>
        <v>1450702</v>
      </c>
      <c r="AS43" s="41">
        <f>SUMIF('Data By District'!$C$7:$C$440,$B43,'Data By District'!$O$7:$O$440)</f>
        <v>778139</v>
      </c>
      <c r="AT43" s="41">
        <f>SUMIF('Data By District'!$C$7:$C$440,$B43,'Data By District'!$Q$7:$Q$440)</f>
        <v>582909</v>
      </c>
      <c r="AU43" s="41">
        <f>SUMIF('Data By District'!$C$7:$C$440,$B43,'Data By District'!$S$7:$S$440)</f>
        <v>89654</v>
      </c>
      <c r="AV43" s="263">
        <f t="shared" si="45"/>
        <v>0.53638790047852691</v>
      </c>
      <c r="AW43" s="24">
        <f t="shared" si="46"/>
        <v>0.40181167462373391</v>
      </c>
      <c r="AX43" s="56">
        <f t="shared" si="47"/>
        <v>6.180042489773916E-2</v>
      </c>
      <c r="AY43" s="25">
        <f>COUNTIF('Data By District'!$AB$7:$AB$440,$B43&amp;"-"&amp;AY$6)</f>
        <v>4</v>
      </c>
      <c r="AZ43" s="25">
        <f>COUNTIF('Data By District'!$AB$7:$AB$440,$B43&amp;"-"&amp;AZ$6)</f>
        <v>1</v>
      </c>
      <c r="BA43" s="25">
        <f>COUNTIF('Data By District'!$AB$7:$AB$440,$B43&amp;"-"&amp;BA$6)</f>
        <v>0</v>
      </c>
      <c r="BB43" s="259">
        <f t="shared" si="27"/>
        <v>0.8</v>
      </c>
      <c r="BC43" s="24">
        <f t="shared" si="28"/>
        <v>0.2</v>
      </c>
      <c r="BD43" s="56">
        <f t="shared" si="29"/>
        <v>0</v>
      </c>
      <c r="BE43" s="259">
        <f t="shared" si="48"/>
        <v>0.26361209952147313</v>
      </c>
      <c r="BF43" s="24">
        <f t="shared" si="49"/>
        <v>0.20181167462373389</v>
      </c>
      <c r="BG43" s="56">
        <f t="shared" si="50"/>
        <v>6.180042489773916E-2</v>
      </c>
      <c r="BH43" s="50">
        <f t="shared" si="30"/>
        <v>1142384</v>
      </c>
      <c r="BI43" s="41">
        <f>'Data By District'!AH336</f>
        <v>308318</v>
      </c>
      <c r="BJ43" s="41">
        <f>SUMIF('Data By District'!$C$7:$C$440,'Data By State'!$B43,'Data By District'!$AD$7:$AD$440)</f>
        <v>73785</v>
      </c>
      <c r="BK43" s="41">
        <f>SUMIF('Data By District'!$C$7:$C$440,'Data By State'!$B43,'Data By District'!$AE$7:$AE$440)</f>
        <v>380535</v>
      </c>
      <c r="BL43" s="50">
        <f>SUMIF('Data By District'!$C$7:$C$440,'Data By State'!$B43,'Data By District'!$AF$7:$AF$440)</f>
        <v>89654</v>
      </c>
      <c r="BM43" s="64">
        <f t="shared" si="31"/>
        <v>0.21253020951236024</v>
      </c>
      <c r="BN43" s="24">
        <f t="shared" si="33"/>
        <v>9.4822390344141597E-2</v>
      </c>
      <c r="BO43" s="24">
        <f t="shared" si="34"/>
        <v>0.65282059463827113</v>
      </c>
      <c r="BP43" s="56">
        <f t="shared" si="35"/>
        <v>1</v>
      </c>
    </row>
    <row r="44" spans="1:68" ht="16.5" thickBot="1">
      <c r="A44" s="17" t="s">
        <v>101</v>
      </c>
      <c r="B44" s="26" t="s">
        <v>37</v>
      </c>
      <c r="C44" s="437">
        <v>3495866</v>
      </c>
      <c r="D44" s="437">
        <v>9702162</v>
      </c>
      <c r="E44" s="25">
        <f t="shared" si="36"/>
        <v>34</v>
      </c>
      <c r="F44" s="25">
        <f t="shared" si="37"/>
        <v>31</v>
      </c>
      <c r="G44" s="73">
        <f t="shared" si="18"/>
        <v>39</v>
      </c>
      <c r="H44" s="25">
        <f t="shared" si="19"/>
        <v>31</v>
      </c>
      <c r="I44" s="25">
        <f t="shared" si="20"/>
        <v>29</v>
      </c>
      <c r="J44" s="25">
        <f t="shared" si="21"/>
        <v>24</v>
      </c>
      <c r="K44" s="68">
        <f t="shared" si="22"/>
        <v>33</v>
      </c>
      <c r="L44" s="67">
        <f t="shared" si="38"/>
        <v>30.4</v>
      </c>
      <c r="M44" s="64">
        <f t="shared" si="23"/>
        <v>0.42045369932586008</v>
      </c>
      <c r="N44" s="419">
        <f>AVERAGEIF('Data By District'!$C$7:$C$441,B44,'Data By District'!$Y$7:$Y$441)</f>
        <v>0.43236322376493447</v>
      </c>
      <c r="O44" s="29">
        <f t="shared" si="39"/>
        <v>0.77777777777777779</v>
      </c>
      <c r="P44" s="29">
        <f>SUMIF('Data By District'!$C$7:$C$440,B44,'Data By District'!$V$7:$V$440)/D44</f>
        <v>0.23981417749981912</v>
      </c>
      <c r="Q44" s="29">
        <f t="shared" si="40"/>
        <v>0.16721885682762555</v>
      </c>
      <c r="R44" s="70">
        <f t="shared" si="41"/>
        <v>0.34255591691831161</v>
      </c>
      <c r="S44" s="69">
        <f t="shared" si="42"/>
        <v>18</v>
      </c>
      <c r="T44" s="25">
        <f>COUNTIF('Data By District'!$AC$7:$AC$440,$B44&amp;"-"&amp;T$6)</f>
        <v>0</v>
      </c>
      <c r="U44" s="25">
        <f>COUNTIF('Data By District'!$AC$7:$AC$440,$B44&amp;"-"&amp;U$6)</f>
        <v>0</v>
      </c>
      <c r="V44" s="25">
        <f>COUNTIF('Data By District'!$AC$7:$AC$440,$B44&amp;"-"&amp;V$6)</f>
        <v>4</v>
      </c>
      <c r="W44" s="25">
        <f>COUNTIF('Data By District'!$AC$7:$AC$440,$B44&amp;"-"&amp;W$6)</f>
        <v>8</v>
      </c>
      <c r="X44" s="25">
        <f>COUNTIF('Data By District'!$AC$7:$AC$440,$B44&amp;"-"&amp;X$6)-(Y44)</f>
        <v>3</v>
      </c>
      <c r="Y44" s="25">
        <f>COUNTIF('Data By District'!$AA$7:$AA$440,$B44&amp;"-"&amp;"Yes")</f>
        <v>3</v>
      </c>
      <c r="Z44" s="348">
        <f t="shared" si="43"/>
        <v>0.16666666666666666</v>
      </c>
      <c r="AA44" s="350">
        <f>COUNTIF('Data By District'!$M$7:$M$440, $B44&amp;"-"&amp;1)</f>
        <v>0</v>
      </c>
      <c r="AB44" s="331">
        <f>COUNTIFS('Data By District'!$K$7:$K$440,$B44&amp;"-"&amp;"Yes",'Data By District'!$AC$7:$AC$440,$B44&amp;"-"&amp;X$6)+COUNTIFS('Data By District'!$K$7:$K$440,$B44&amp;"-"&amp;"Yes",'Data By District'!$AC$7:$AC$440,$B44&amp;"-"&amp;W$6)</f>
        <v>13</v>
      </c>
      <c r="AC44" s="328">
        <f t="shared" si="32"/>
        <v>0.8125</v>
      </c>
      <c r="AD44" s="332">
        <f>COUNTIF('Data By District'!$K$7:$K$440,$B44&amp;"-"&amp;"Yes")</f>
        <v>16</v>
      </c>
      <c r="AE44" s="332">
        <f t="shared" si="24"/>
        <v>0</v>
      </c>
      <c r="AF44" s="332">
        <f>COUNTIF('Data By District'!$J$7:$J$440,$B44&amp;"-"&amp;"Yes")</f>
        <v>16</v>
      </c>
      <c r="AG44" s="332">
        <f>COUNTIFS('Data By District'!$K$7:$K$440,$B44&amp;"-"&amp;"Yes",'Data By District'!$AB$7:$AB$440,$B44&amp;"-"&amp;"Dem")</f>
        <v>4</v>
      </c>
      <c r="AH44" s="332">
        <f>COUNTIFS('Data By District'!$K$7:$K$440,$B44&amp;"-"&amp;"Yes",'Data By District'!$AB$7:$AB$440,$B44&amp;"-"&amp;"Rep")</f>
        <v>12</v>
      </c>
      <c r="AI44" s="332">
        <f>COUNTIFS('Data By District'!$K$7:$K$440,$B44&amp;"-"&amp;"Yes",'Data By District'!$AB$7:$AB$440,$B44&amp;"-"&amp;"Dem",'Data By District'!$K$7:$K$440,$B44&amp;"-"&amp;"Yes",'Data By District'!$AC$7:$AC$440,$B44&amp;"-"&amp;W$6)+COUNTIFS('Data By District'!$K$7:$K$440,$B44&amp;"-"&amp;"Yes",'Data By District'!$AB$7:$AB$440,$B44&amp;"-"&amp;"Dem",'Data By District'!$K$7:$K$440,$B44&amp;"-"&amp;"Yes",'Data By District'!$AC$7:$AC$440,$B44&amp;"-"&amp;X$6)</f>
        <v>3</v>
      </c>
      <c r="AJ44" s="332">
        <f>COUNTIFS('Data By District'!$K$7:$K$440,$B44&amp;"-"&amp;"Yes",'Data By District'!$AB$7:$AB$440,$B44&amp;"-"&amp;"Rep",'Data By District'!$K$7:$K$440,$B44&amp;"-"&amp;"Yes",'Data By District'!$AC$7:$AC$440,$B44&amp;"-"&amp;W$6)+COUNTIFS('Data By District'!$K$7:$K$440,$B44&amp;"-"&amp;"Yes",'Data By District'!$AB$7:$AB$440,$B44&amp;"-"&amp;"Rep",'Data By District'!$K$7:$K$440,$B44&amp;"-"&amp;"Yes",'Data By District'!$AC$7:$AC$440,$B44&amp;"-"&amp;X$6)</f>
        <v>10</v>
      </c>
      <c r="AK44" s="331">
        <f>COUNTIF('Data By District'!$E$7:$E$440,$B44&amp;"-"&amp;"Yes")</f>
        <v>0</v>
      </c>
      <c r="AL44" s="332">
        <f>COUNTIF('Data By District'!$F$7:$F$440,$B44&amp;"-"&amp;"Yes")</f>
        <v>1</v>
      </c>
      <c r="AM44" s="332">
        <f>COUNTIF('Data By District'!$G$7:$G$440,$B44&amp;"-"&amp;"Yes")</f>
        <v>0</v>
      </c>
      <c r="AN44" s="332">
        <f>COUNTIF('Data By District'!$H$7:$H$440,$B44&amp;"-"&amp;"Yes")</f>
        <v>0</v>
      </c>
      <c r="AO44" s="332">
        <f>COUNTIF('Data By District'!$I$7:$I$440,$B44&amp;"-"&amp;"Yes")</f>
        <v>0</v>
      </c>
      <c r="AP44" s="70">
        <f t="shared" si="44"/>
        <v>4.9296225885088273E-2</v>
      </c>
      <c r="AQ44" s="55">
        <f t="shared" si="25"/>
        <v>0.6966177257755527</v>
      </c>
      <c r="AR44" s="50">
        <f t="shared" si="26"/>
        <v>3323533</v>
      </c>
      <c r="AS44" s="41">
        <f>SUMIF('Data By District'!$C$7:$C$440,$B44,'Data By District'!$O$7:$O$440)</f>
        <v>1467594</v>
      </c>
      <c r="AT44" s="41">
        <f>SUMIF('Data By District'!$C$7:$C$440,$B44,'Data By District'!$Q$7:$Q$440)</f>
        <v>1833205</v>
      </c>
      <c r="AU44" s="41">
        <f>SUMIF('Data By District'!$C$7:$C$440,$B44,'Data By District'!$S$7:$S$440)</f>
        <v>22734</v>
      </c>
      <c r="AV44" s="263">
        <f t="shared" si="45"/>
        <v>0.44157647900592534</v>
      </c>
      <c r="AW44" s="24">
        <f t="shared" si="46"/>
        <v>0.55158320979511866</v>
      </c>
      <c r="AX44" s="56">
        <f t="shared" si="47"/>
        <v>6.8403111989560504E-3</v>
      </c>
      <c r="AY44" s="25">
        <f>COUNTIF('Data By District'!$AB$7:$AB$440,$B44&amp;"-"&amp;AY$6)</f>
        <v>5</v>
      </c>
      <c r="AZ44" s="25">
        <f>COUNTIF('Data By District'!$AB$7:$AB$440,$B44&amp;"-"&amp;AZ$6)</f>
        <v>13</v>
      </c>
      <c r="BA44" s="25">
        <f>COUNTIF('Data By District'!$AB$7:$AB$440,$B44&amp;"-"&amp;BA$6)</f>
        <v>0</v>
      </c>
      <c r="BB44" s="259">
        <f t="shared" si="27"/>
        <v>0.27777777777777779</v>
      </c>
      <c r="BC44" s="24">
        <f t="shared" si="28"/>
        <v>0.72222222222222221</v>
      </c>
      <c r="BD44" s="56">
        <f t="shared" si="29"/>
        <v>0</v>
      </c>
      <c r="BE44" s="259">
        <f t="shared" si="48"/>
        <v>0.16379870122814755</v>
      </c>
      <c r="BF44" s="24">
        <f t="shared" si="49"/>
        <v>0.17063901242710355</v>
      </c>
      <c r="BG44" s="56">
        <f t="shared" si="50"/>
        <v>6.8403111989560504E-3</v>
      </c>
      <c r="BH44" s="50">
        <f t="shared" si="30"/>
        <v>2315232</v>
      </c>
      <c r="BI44" s="41">
        <f>'Data By District'!AH355</f>
        <v>1008301</v>
      </c>
      <c r="BJ44" s="41">
        <f>SUMIF('Data By District'!$C$7:$C$440,'Data By State'!$B44,'Data By District'!$AD$7:$AD$440)</f>
        <v>789573</v>
      </c>
      <c r="BK44" s="41">
        <f>SUMIF('Data By District'!$C$7:$C$440,'Data By State'!$B44,'Data By District'!$AE$7:$AE$440)</f>
        <v>184510</v>
      </c>
      <c r="BL44" s="50">
        <f>SUMIF('Data By District'!$C$7:$C$440,'Data By State'!$B44,'Data By District'!$AF$7:$AF$440)</f>
        <v>22734</v>
      </c>
      <c r="BM44" s="64">
        <f t="shared" si="31"/>
        <v>0.3033822742244473</v>
      </c>
      <c r="BN44" s="24">
        <f t="shared" si="33"/>
        <v>0.5380050613453039</v>
      </c>
      <c r="BO44" s="24">
        <f t="shared" si="34"/>
        <v>0.10064886360227034</v>
      </c>
      <c r="BP44" s="56">
        <f t="shared" si="35"/>
        <v>1</v>
      </c>
    </row>
    <row r="45" spans="1:68" ht="16.5" thickBot="1">
      <c r="A45" s="17" t="s">
        <v>102</v>
      </c>
      <c r="B45" s="26" t="s">
        <v>38</v>
      </c>
      <c r="C45" s="437">
        <v>324055</v>
      </c>
      <c r="D45" s="437">
        <v>779441</v>
      </c>
      <c r="E45" s="25">
        <f t="shared" si="36"/>
        <v>17</v>
      </c>
      <c r="F45" s="25">
        <f t="shared" si="37"/>
        <v>18</v>
      </c>
      <c r="G45" s="73">
        <f t="shared" si="18"/>
        <v>12</v>
      </c>
      <c r="H45" s="25">
        <f t="shared" si="19"/>
        <v>9</v>
      </c>
      <c r="I45" s="25">
        <f t="shared" si="20"/>
        <v>25</v>
      </c>
      <c r="J45" s="25">
        <f t="shared" si="21"/>
        <v>45</v>
      </c>
      <c r="K45" s="68">
        <f t="shared" si="22"/>
        <v>19</v>
      </c>
      <c r="L45" s="67">
        <f t="shared" si="38"/>
        <v>23.2</v>
      </c>
      <c r="M45" s="64">
        <f t="shared" si="23"/>
        <v>0.47718030525854227</v>
      </c>
      <c r="N45" s="419">
        <f>AVERAGEIF('Data By District'!$C$7:$C$441,B45,'Data By District'!$Y$7:$Y$441)</f>
        <v>0.21950685191383051</v>
      </c>
      <c r="O45" s="29">
        <f t="shared" si="39"/>
        <v>0.5</v>
      </c>
      <c r="P45" s="29">
        <f>SUMIF('Data By District'!$C$7:$C$440,B45,'Data By District'!$V$7:$V$440)/D45</f>
        <v>0.24732596822594655</v>
      </c>
      <c r="Q45" s="29">
        <f t="shared" si="40"/>
        <v>0.38924355824535106</v>
      </c>
      <c r="R45" s="70">
        <f t="shared" si="41"/>
        <v>0.4057484787174398</v>
      </c>
      <c r="S45" s="69">
        <f t="shared" si="42"/>
        <v>2</v>
      </c>
      <c r="T45" s="25">
        <f>COUNTIF('Data By District'!$AC$7:$AC$440,$B45&amp;"-"&amp;T$6)</f>
        <v>0</v>
      </c>
      <c r="U45" s="25">
        <f>COUNTIF('Data By District'!$AC$7:$AC$440,$B45&amp;"-"&amp;U$6)</f>
        <v>0</v>
      </c>
      <c r="V45" s="25">
        <f>COUNTIF('Data By District'!$AC$7:$AC$440,$B45&amp;"-"&amp;V$6)</f>
        <v>1</v>
      </c>
      <c r="W45" s="25">
        <f>COUNTIF('Data By District'!$AC$7:$AC$440,$B45&amp;"-"&amp;W$6)</f>
        <v>1</v>
      </c>
      <c r="X45" s="25">
        <f>COUNTIF('Data By District'!$AC$7:$AC$440,$B45&amp;"-"&amp;X$6)-(Y45)</f>
        <v>0</v>
      </c>
      <c r="Y45" s="340">
        <f>COUNTIF('Data By District'!$AA$7:$AA$440,$B45&amp;"-"&amp;"Yes")</f>
        <v>0</v>
      </c>
      <c r="Z45" s="348">
        <f t="shared" si="43"/>
        <v>0</v>
      </c>
      <c r="AA45" s="350">
        <f>COUNTIF('Data By District'!$M$7:$M$440, $B45&amp;"-"&amp;1)</f>
        <v>0</v>
      </c>
      <c r="AB45" s="331">
        <f>COUNTIFS('Data By District'!$K$7:$K$440,$B45&amp;"-"&amp;"Yes",'Data By District'!$AC$7:$AC$440,$B45&amp;"-"&amp;X$6)+COUNTIFS('Data By District'!$K$7:$K$440,$B45&amp;"-"&amp;"Yes",'Data By District'!$AC$7:$AC$440,$B45&amp;"-"&amp;W$6)</f>
        <v>1</v>
      </c>
      <c r="AC45" s="328">
        <f t="shared" si="32"/>
        <v>0.5</v>
      </c>
      <c r="AD45" s="332">
        <f>COUNTIF('Data By District'!$K$7:$K$440,$B45&amp;"-"&amp;"Yes")</f>
        <v>2</v>
      </c>
      <c r="AE45" s="332">
        <f t="shared" si="24"/>
        <v>0</v>
      </c>
      <c r="AF45" s="332">
        <f>COUNTIF('Data By District'!$J$7:$J$440,$B45&amp;"-"&amp;"Yes")</f>
        <v>2</v>
      </c>
      <c r="AG45" s="332">
        <f>COUNTIFS('Data By District'!$K$7:$K$440,$B45&amp;"-"&amp;"Yes",'Data By District'!$AB$7:$AB$440,$B45&amp;"-"&amp;"Dem")</f>
        <v>2</v>
      </c>
      <c r="AH45" s="332">
        <f>COUNTIFS('Data By District'!$K$7:$K$440,$B45&amp;"-"&amp;"Yes",'Data By District'!$AB$7:$AB$440,$B45&amp;"-"&amp;"Rep")</f>
        <v>0</v>
      </c>
      <c r="AI45" s="332">
        <f>COUNTIFS('Data By District'!$K$7:$K$440,$B45&amp;"-"&amp;"Yes",'Data By District'!$AB$7:$AB$440,$B45&amp;"-"&amp;"Dem",'Data By District'!$K$7:$K$440,$B45&amp;"-"&amp;"Yes",'Data By District'!$AC$7:$AC$440,$B45&amp;"-"&amp;W$6)+COUNTIFS('Data By District'!$K$7:$K$440,$B45&amp;"-"&amp;"Yes",'Data By District'!$AB$7:$AB$440,$B45&amp;"-"&amp;"Dem",'Data By District'!$K$7:$K$440,$B45&amp;"-"&amp;"Yes",'Data By District'!$AC$7:$AC$440,$B45&amp;"-"&amp;X$6)</f>
        <v>1</v>
      </c>
      <c r="AJ45" s="332">
        <f>COUNTIFS('Data By District'!$K$7:$K$440,$B45&amp;"-"&amp;"Yes",'Data By District'!$AB$7:$AB$440,$B45&amp;"-"&amp;"Rep",'Data By District'!$K$7:$K$440,$B45&amp;"-"&amp;"Yes",'Data By District'!$AC$7:$AC$440,$B45&amp;"-"&amp;W$6)+COUNTIFS('Data By District'!$K$7:$K$440,$B45&amp;"-"&amp;"Yes",'Data By District'!$AB$7:$AB$440,$B45&amp;"-"&amp;"Rep",'Data By District'!$K$7:$K$440,$B45&amp;"-"&amp;"Yes",'Data By District'!$AC$7:$AC$440,$B45&amp;"-"&amp;X$6)</f>
        <v>0</v>
      </c>
      <c r="AK45" s="331">
        <f>COUNTIF('Data By District'!$E$7:$E$440,$B45&amp;"-"&amp;"Yes")</f>
        <v>0</v>
      </c>
      <c r="AL45" s="332">
        <f>COUNTIF('Data By District'!$F$7:$F$440,$B45&amp;"-"&amp;"Yes")</f>
        <v>0</v>
      </c>
      <c r="AM45" s="332">
        <f>COUNTIF('Data By District'!$G$7:$G$440,$B45&amp;"-"&amp;"Yes")</f>
        <v>0</v>
      </c>
      <c r="AN45" s="332">
        <f>COUNTIF('Data By District'!$H$7:$H$440,$B45&amp;"-"&amp;"Yes")</f>
        <v>0</v>
      </c>
      <c r="AO45" s="332">
        <f>COUNTIF('Data By District'!$I$7:$I$440,$B45&amp;"-"&amp;"Yes")</f>
        <v>0</v>
      </c>
      <c r="AP45" s="70">
        <f t="shared" si="44"/>
        <v>2.4063816327475274E-2</v>
      </c>
      <c r="AQ45" s="55">
        <f t="shared" si="25"/>
        <v>0.63202079321564419</v>
      </c>
      <c r="AR45" s="50">
        <f t="shared" si="26"/>
        <v>316257</v>
      </c>
      <c r="AS45" s="41">
        <f>SUMIF('Data By District'!$C$7:$C$440,$B45,'Data By District'!$O$7:$O$440)</f>
        <v>192776</v>
      </c>
      <c r="AT45" s="41">
        <f>SUMIF('Data By District'!$C$7:$C$440,$B45,'Data By District'!$Q$7:$Q$440)</f>
        <v>122721</v>
      </c>
      <c r="AU45" s="41">
        <f>SUMIF('Data By District'!$C$7:$C$440,$B45,'Data By District'!$S$7:$S$440)</f>
        <v>760</v>
      </c>
      <c r="AV45" s="263">
        <f t="shared" si="45"/>
        <v>0.60955488732265217</v>
      </c>
      <c r="AW45" s="24">
        <f t="shared" si="46"/>
        <v>0.38804200381335435</v>
      </c>
      <c r="AX45" s="56">
        <f t="shared" si="47"/>
        <v>2.4031088639935244E-3</v>
      </c>
      <c r="AY45" s="25">
        <f>COUNTIF('Data By District'!$AB$7:$AB$440,$B45&amp;"-"&amp;AY$6)</f>
        <v>2</v>
      </c>
      <c r="AZ45" s="25">
        <f>COUNTIF('Data By District'!$AB$7:$AB$440,$B45&amp;"-"&amp;AZ$6)</f>
        <v>0</v>
      </c>
      <c r="BA45" s="25">
        <f>COUNTIF('Data By District'!$AB$7:$AB$440,$B45&amp;"-"&amp;BA$6)</f>
        <v>0</v>
      </c>
      <c r="BB45" s="259">
        <f t="shared" si="27"/>
        <v>1</v>
      </c>
      <c r="BC45" s="24">
        <f t="shared" si="28"/>
        <v>0</v>
      </c>
      <c r="BD45" s="56">
        <f t="shared" si="29"/>
        <v>0</v>
      </c>
      <c r="BE45" s="259">
        <f t="shared" si="48"/>
        <v>0.39044511267734783</v>
      </c>
      <c r="BF45" s="24">
        <f t="shared" si="49"/>
        <v>0.38804200381335435</v>
      </c>
      <c r="BG45" s="56">
        <f t="shared" si="50"/>
        <v>2.4031088639935244E-3</v>
      </c>
      <c r="BH45" s="50">
        <f t="shared" si="30"/>
        <v>199881</v>
      </c>
      <c r="BI45" s="41">
        <f>'Data By District'!AH357</f>
        <v>116376</v>
      </c>
      <c r="BJ45" s="41">
        <f>SUMIF('Data By District'!$C$7:$C$440,'Data By State'!$B45,'Data By District'!$AD$7:$AD$440)</f>
        <v>0</v>
      </c>
      <c r="BK45" s="41">
        <f>SUMIF('Data By District'!$C$7:$C$440,'Data By State'!$B45,'Data By District'!$AE$7:$AE$440)</f>
        <v>122721</v>
      </c>
      <c r="BL45" s="50">
        <f>SUMIF('Data By District'!$C$7:$C$440,'Data By State'!$B45,'Data By District'!$AF$7:$AF$440)</f>
        <v>760</v>
      </c>
      <c r="BM45" s="64">
        <f t="shared" si="31"/>
        <v>0.36797920678435575</v>
      </c>
      <c r="BN45" s="24">
        <f t="shared" si="33"/>
        <v>0</v>
      </c>
      <c r="BO45" s="24">
        <f t="shared" si="34"/>
        <v>1</v>
      </c>
      <c r="BP45" s="56">
        <f t="shared" si="35"/>
        <v>1</v>
      </c>
    </row>
    <row r="46" spans="1:68" ht="16.5" thickBot="1">
      <c r="A46" s="17" t="s">
        <v>103</v>
      </c>
      <c r="B46" s="26" t="s">
        <v>39</v>
      </c>
      <c r="C46" s="437">
        <v>1246301</v>
      </c>
      <c r="D46" s="437">
        <v>3582895</v>
      </c>
      <c r="E46" s="25">
        <f t="shared" si="36"/>
        <v>41</v>
      </c>
      <c r="F46" s="25">
        <f t="shared" si="37"/>
        <v>32</v>
      </c>
      <c r="G46" s="73">
        <f t="shared" si="18"/>
        <v>42</v>
      </c>
      <c r="H46" s="25">
        <f t="shared" si="19"/>
        <v>24</v>
      </c>
      <c r="I46" s="25">
        <f t="shared" si="20"/>
        <v>35</v>
      </c>
      <c r="J46" s="25">
        <f t="shared" si="21"/>
        <v>30</v>
      </c>
      <c r="K46" s="68">
        <f t="shared" si="22"/>
        <v>37</v>
      </c>
      <c r="L46" s="67">
        <f t="shared" si="38"/>
        <v>33.200000000000003</v>
      </c>
      <c r="M46" s="64">
        <f t="shared" si="23"/>
        <v>0.41848976616322442</v>
      </c>
      <c r="N46" s="419">
        <f>AVERAGEIF('Data By District'!$C$7:$C$441,B46,'Data By District'!$Y$7:$Y$441)</f>
        <v>0.44394502915615941</v>
      </c>
      <c r="O46" s="29">
        <f t="shared" si="39"/>
        <v>0.7142857142857143</v>
      </c>
      <c r="P46" s="29">
        <f>SUMIF('Data By District'!$C$7:$C$440,B46,'Data By District'!$V$7:$V$440)/D46</f>
        <v>0.22771864651350374</v>
      </c>
      <c r="Q46" s="29">
        <f t="shared" si="40"/>
        <v>0.20475771876901155</v>
      </c>
      <c r="R46" s="70">
        <f t="shared" si="41"/>
        <v>0.32258327414004595</v>
      </c>
      <c r="S46" s="69">
        <f t="shared" si="42"/>
        <v>7</v>
      </c>
      <c r="T46" s="25">
        <f>COUNTIF('Data By District'!$AC$7:$AC$440,$B46&amp;"-"&amp;T$6)</f>
        <v>0</v>
      </c>
      <c r="U46" s="25">
        <f>COUNTIF('Data By District'!$AC$7:$AC$440,$B46&amp;"-"&amp;U$6)</f>
        <v>0</v>
      </c>
      <c r="V46" s="25">
        <f>COUNTIF('Data By District'!$AC$7:$AC$440,$B46&amp;"-"&amp;V$6)</f>
        <v>2</v>
      </c>
      <c r="W46" s="25">
        <f>COUNTIF('Data By District'!$AC$7:$AC$440,$B46&amp;"-"&amp;W$6)</f>
        <v>1</v>
      </c>
      <c r="X46" s="25">
        <f>COUNTIF('Data By District'!$AC$7:$AC$440,$B46&amp;"-"&amp;X$6)-(Y46)</f>
        <v>2</v>
      </c>
      <c r="Y46" s="25">
        <f>COUNTIF('Data By District'!$AA$7:$AA$440,$B46&amp;"-"&amp;"Yes")</f>
        <v>2</v>
      </c>
      <c r="Z46" s="348">
        <f t="shared" si="43"/>
        <v>0.2857142857142857</v>
      </c>
      <c r="AA46" s="350">
        <f>COUNTIF('Data By District'!$M$7:$M$440, $B46&amp;"-"&amp;1)</f>
        <v>0</v>
      </c>
      <c r="AB46" s="331">
        <f>COUNTIFS('Data By District'!$K$7:$K$440,$B46&amp;"-"&amp;"Yes",'Data By District'!$AC$7:$AC$440,$B46&amp;"-"&amp;X$6)+COUNTIFS('Data By District'!$K$7:$K$440,$B46&amp;"-"&amp;"Yes",'Data By District'!$AC$7:$AC$440,$B46&amp;"-"&amp;W$6)</f>
        <v>5</v>
      </c>
      <c r="AC46" s="328">
        <f t="shared" si="32"/>
        <v>0.7142857142857143</v>
      </c>
      <c r="AD46" s="332">
        <f>COUNTIF('Data By District'!$K$7:$K$440,$B46&amp;"-"&amp;"Yes")</f>
        <v>7</v>
      </c>
      <c r="AE46" s="332">
        <f t="shared" si="24"/>
        <v>0</v>
      </c>
      <c r="AF46" s="332">
        <f>COUNTIF('Data By District'!$J$7:$J$440,$B46&amp;"-"&amp;"Yes")</f>
        <v>7</v>
      </c>
      <c r="AG46" s="332">
        <f>COUNTIFS('Data By District'!$K$7:$K$440,$B46&amp;"-"&amp;"Yes",'Data By District'!$AB$7:$AB$440,$B46&amp;"-"&amp;"Dem")</f>
        <v>1</v>
      </c>
      <c r="AH46" s="332">
        <f>COUNTIFS('Data By District'!$K$7:$K$440,$B46&amp;"-"&amp;"Yes",'Data By District'!$AB$7:$AB$440,$B46&amp;"-"&amp;"Rep")</f>
        <v>6</v>
      </c>
      <c r="AI46" s="332">
        <f>COUNTIFS('Data By District'!$K$7:$K$440,$B46&amp;"-"&amp;"Yes",'Data By District'!$AB$7:$AB$440,$B46&amp;"-"&amp;"Dem",'Data By District'!$K$7:$K$440,$B46&amp;"-"&amp;"Yes",'Data By District'!$AC$7:$AC$440,$B46&amp;"-"&amp;W$6)+COUNTIFS('Data By District'!$K$7:$K$440,$B46&amp;"-"&amp;"Yes",'Data By District'!$AB$7:$AB$440,$B46&amp;"-"&amp;"Dem",'Data By District'!$K$7:$K$440,$B46&amp;"-"&amp;"Yes",'Data By District'!$AC$7:$AC$440,$B46&amp;"-"&amp;X$6)</f>
        <v>1</v>
      </c>
      <c r="AJ46" s="332">
        <f>COUNTIFS('Data By District'!$K$7:$K$440,$B46&amp;"-"&amp;"Yes",'Data By District'!$AB$7:$AB$440,$B46&amp;"-"&amp;"Rep",'Data By District'!$K$7:$K$440,$B46&amp;"-"&amp;"Yes",'Data By District'!$AC$7:$AC$440,$B46&amp;"-"&amp;W$6)+COUNTIFS('Data By District'!$K$7:$K$440,$B46&amp;"-"&amp;"Yes",'Data By District'!$AB$7:$AB$440,$B46&amp;"-"&amp;"Rep",'Data By District'!$K$7:$K$440,$B46&amp;"-"&amp;"Yes",'Data By District'!$AC$7:$AC$440,$B46&amp;"-"&amp;X$6)</f>
        <v>4</v>
      </c>
      <c r="AK46" s="331">
        <f>COUNTIF('Data By District'!$E$7:$E$440,$B46&amp;"-"&amp;"Yes")</f>
        <v>0</v>
      </c>
      <c r="AL46" s="332">
        <f>COUNTIF('Data By District'!$F$7:$F$440,$B46&amp;"-"&amp;"Yes")</f>
        <v>1</v>
      </c>
      <c r="AM46" s="332">
        <f>COUNTIF('Data By District'!$G$7:$G$440,$B46&amp;"-"&amp;"Yes")</f>
        <v>0</v>
      </c>
      <c r="AN46" s="332">
        <f>COUNTIF('Data By District'!$H$7:$H$440,$B46&amp;"-"&amp;"Yes")</f>
        <v>0</v>
      </c>
      <c r="AO46" s="332">
        <f>COUNTIF('Data By District'!$I$7:$I$440,$B46&amp;"-"&amp;"Yes")</f>
        <v>0</v>
      </c>
      <c r="AP46" s="70">
        <f t="shared" si="44"/>
        <v>7.263012707203155E-2</v>
      </c>
      <c r="AQ46" s="55">
        <f t="shared" si="25"/>
        <v>0.70602241599194315</v>
      </c>
      <c r="AR46" s="50">
        <f t="shared" si="26"/>
        <v>1155782</v>
      </c>
      <c r="AS46" s="41">
        <f>SUMIF('Data By District'!$C$7:$C$440,$B46,'Data By District'!$O$7:$O$440)</f>
        <v>382208</v>
      </c>
      <c r="AT46" s="41">
        <f>SUMIF('Data By District'!$C$7:$C$440,$B46,'Data By District'!$Q$7:$Q$440)</f>
        <v>734456</v>
      </c>
      <c r="AU46" s="41">
        <f>SUMIF('Data By District'!$C$7:$C$440,$B46,'Data By District'!$S$7:$S$440)</f>
        <v>39118</v>
      </c>
      <c r="AV46" s="263">
        <f t="shared" si="45"/>
        <v>0.3306921201403033</v>
      </c>
      <c r="AW46" s="24">
        <f t="shared" si="46"/>
        <v>0.63546239688799444</v>
      </c>
      <c r="AX46" s="56">
        <f t="shared" si="47"/>
        <v>3.3845482971702277E-2</v>
      </c>
      <c r="AY46" s="25">
        <f>COUNTIF('Data By District'!$AB$7:$AB$440,$B46&amp;"-"&amp;AY$6)</f>
        <v>1</v>
      </c>
      <c r="AZ46" s="25">
        <f>COUNTIF('Data By District'!$AB$7:$AB$440,$B46&amp;"-"&amp;AZ$6)</f>
        <v>6</v>
      </c>
      <c r="BA46" s="25">
        <f>COUNTIF('Data By District'!$AB$7:$AB$440,$B46&amp;"-"&amp;BA$6)</f>
        <v>0</v>
      </c>
      <c r="BB46" s="259">
        <f t="shared" si="27"/>
        <v>0.14285714285714285</v>
      </c>
      <c r="BC46" s="24">
        <f t="shared" si="28"/>
        <v>0.8571428571428571</v>
      </c>
      <c r="BD46" s="56">
        <f t="shared" si="29"/>
        <v>0</v>
      </c>
      <c r="BE46" s="259">
        <f t="shared" si="48"/>
        <v>0.18783497728316045</v>
      </c>
      <c r="BF46" s="24">
        <f t="shared" si="49"/>
        <v>0.22168046025486265</v>
      </c>
      <c r="BG46" s="56">
        <f t="shared" si="50"/>
        <v>3.3845482971702277E-2</v>
      </c>
      <c r="BH46" s="50">
        <f t="shared" si="30"/>
        <v>816008</v>
      </c>
      <c r="BI46" s="41">
        <f>'Data By District'!AH363</f>
        <v>339774</v>
      </c>
      <c r="BJ46" s="41">
        <f>SUMIF('Data By District'!$C$7:$C$440,'Data By State'!$B46,'Data By District'!$AD$7:$AD$440)</f>
        <v>256461</v>
      </c>
      <c r="BK46" s="41">
        <f>SUMIF('Data By District'!$C$7:$C$440,'Data By State'!$B46,'Data By District'!$AE$7:$AE$440)</f>
        <v>44311</v>
      </c>
      <c r="BL46" s="50">
        <f>SUMIF('Data By District'!$C$7:$C$440,'Data By State'!$B46,'Data By District'!$AF$7:$AF$440)</f>
        <v>39118</v>
      </c>
      <c r="BM46" s="64">
        <f t="shared" si="31"/>
        <v>0.2939775840080569</v>
      </c>
      <c r="BN46" s="24">
        <f t="shared" si="33"/>
        <v>0.67099851389819154</v>
      </c>
      <c r="BO46" s="24">
        <f t="shared" si="34"/>
        <v>6.0331728517433313E-2</v>
      </c>
      <c r="BP46" s="56">
        <f t="shared" si="35"/>
        <v>1</v>
      </c>
    </row>
    <row r="47" spans="1:68" ht="16.5" thickBot="1">
      <c r="A47" s="17" t="s">
        <v>104</v>
      </c>
      <c r="B47" s="26" t="s">
        <v>40</v>
      </c>
      <c r="C47" s="437">
        <v>279412</v>
      </c>
      <c r="D47" s="437">
        <v>628053</v>
      </c>
      <c r="E47" s="25">
        <f t="shared" si="36"/>
        <v>26</v>
      </c>
      <c r="F47" s="25">
        <f t="shared" si="37"/>
        <v>41</v>
      </c>
      <c r="G47" s="73">
        <f t="shared" si="18"/>
        <v>31</v>
      </c>
      <c r="H47" s="25">
        <f t="shared" si="19"/>
        <v>41</v>
      </c>
      <c r="I47" s="25">
        <f t="shared" si="20"/>
        <v>8</v>
      </c>
      <c r="J47" s="25">
        <f t="shared" si="21"/>
        <v>38</v>
      </c>
      <c r="K47" s="68">
        <f t="shared" si="22"/>
        <v>10</v>
      </c>
      <c r="L47" s="67">
        <f t="shared" si="38"/>
        <v>25.2</v>
      </c>
      <c r="M47" s="64">
        <f t="shared" si="23"/>
        <v>0.38402258465644562</v>
      </c>
      <c r="N47" s="419">
        <f>AVERAGEIF('Data By District'!$C$7:$C$441,B47,'Data By District'!$Y$7:$Y$441)</f>
        <v>0.33059253978191872</v>
      </c>
      <c r="O47" s="29">
        <f t="shared" si="39"/>
        <v>1</v>
      </c>
      <c r="P47" s="29">
        <f>SUMIF('Data By District'!$C$7:$C$440,B47,'Data By District'!$V$7:$V$440)/D47</f>
        <v>0.29270459658659381</v>
      </c>
      <c r="Q47" s="29">
        <f t="shared" si="40"/>
        <v>0.33470373010904064</v>
      </c>
      <c r="R47" s="70">
        <f t="shared" si="41"/>
        <v>0.43996127715336125</v>
      </c>
      <c r="S47" s="69">
        <f t="shared" si="42"/>
        <v>1</v>
      </c>
      <c r="T47" s="25">
        <f>COUNTIF('Data By District'!$AC$7:$AC$440,$B47&amp;"-"&amp;T$6)</f>
        <v>0</v>
      </c>
      <c r="U47" s="25">
        <f>COUNTIF('Data By District'!$AC$7:$AC$440,$B47&amp;"-"&amp;U$6)</f>
        <v>0</v>
      </c>
      <c r="V47" s="25">
        <f>COUNTIF('Data By District'!$AC$7:$AC$440,$B47&amp;"-"&amp;V$6)</f>
        <v>0</v>
      </c>
      <c r="W47" s="25">
        <f>COUNTIF('Data By District'!$AC$7:$AC$440,$B47&amp;"-"&amp;W$6)</f>
        <v>1</v>
      </c>
      <c r="X47" s="25">
        <f>COUNTIF('Data By District'!$AC$7:$AC$440,$B47&amp;"-"&amp;X$6)-(Y47)</f>
        <v>0</v>
      </c>
      <c r="Y47" s="25">
        <f>COUNTIF('Data By District'!$AA$7:$AA$440,$B47&amp;"-"&amp;"Yes")</f>
        <v>0</v>
      </c>
      <c r="Z47" s="348">
        <f t="shared" si="43"/>
        <v>0</v>
      </c>
      <c r="AA47" s="350">
        <f>COUNTIF('Data By District'!$M$7:$M$440, $B47&amp;"-"&amp;1)</f>
        <v>0</v>
      </c>
      <c r="AB47" s="331">
        <f>COUNTIFS('Data By District'!$K$7:$K$440,$B47&amp;"-"&amp;"Yes",'Data By District'!$AC$7:$AC$440,$B47&amp;"-"&amp;X$6)+COUNTIFS('Data By District'!$K$7:$K$440,$B47&amp;"-"&amp;"Yes",'Data By District'!$AC$7:$AC$440,$B47&amp;"-"&amp;W$6)</f>
        <v>1</v>
      </c>
      <c r="AC47" s="328">
        <f t="shared" si="32"/>
        <v>1</v>
      </c>
      <c r="AD47" s="332">
        <f>COUNTIF('Data By District'!$K$7:$K$440,$B47&amp;"-"&amp;"Yes")</f>
        <v>1</v>
      </c>
      <c r="AE47" s="332">
        <f t="shared" si="24"/>
        <v>0</v>
      </c>
      <c r="AF47" s="332">
        <f>COUNTIF('Data By District'!$J$7:$J$440,$B47&amp;"-"&amp;"Yes")</f>
        <v>1</v>
      </c>
      <c r="AG47" s="332">
        <f>COUNTIFS('Data By District'!$K$7:$K$440,$B47&amp;"-"&amp;"Yes",'Data By District'!$AB$7:$AB$440,$B47&amp;"-"&amp;"Dem")</f>
        <v>0</v>
      </c>
      <c r="AH47" s="332">
        <f>COUNTIFS('Data By District'!$K$7:$K$440,$B47&amp;"-"&amp;"Yes",'Data By District'!$AB$7:$AB$440,$B47&amp;"-"&amp;"Rep")</f>
        <v>1</v>
      </c>
      <c r="AI47" s="332">
        <f>COUNTIFS('Data By District'!$K$7:$K$440,$B47&amp;"-"&amp;"Yes",'Data By District'!$AB$7:$AB$440,$B47&amp;"-"&amp;"Dem",'Data By District'!$K$7:$K$440,$B47&amp;"-"&amp;"Yes",'Data By District'!$AC$7:$AC$440,$B47&amp;"-"&amp;W$6)+COUNTIFS('Data By District'!$K$7:$K$440,$B47&amp;"-"&amp;"Yes",'Data By District'!$AB$7:$AB$440,$B47&amp;"-"&amp;"Dem",'Data By District'!$K$7:$K$440,$B47&amp;"-"&amp;"Yes",'Data By District'!$AC$7:$AC$440,$B47&amp;"-"&amp;X$6)</f>
        <v>0</v>
      </c>
      <c r="AJ47" s="332">
        <f>COUNTIFS('Data By District'!$K$7:$K$440,$B47&amp;"-"&amp;"Yes",'Data By District'!$AB$7:$AB$440,$B47&amp;"-"&amp;"Rep",'Data By District'!$K$7:$K$440,$B47&amp;"-"&amp;"Yes",'Data By District'!$AC$7:$AC$440,$B47&amp;"-"&amp;W$6)+COUNTIFS('Data By District'!$K$7:$K$440,$B47&amp;"-"&amp;"Yes",'Data By District'!$AB$7:$AB$440,$B47&amp;"-"&amp;"Rep",'Data By District'!$K$7:$K$440,$B47&amp;"-"&amp;"Yes",'Data By District'!$AC$7:$AC$440,$B47&amp;"-"&amp;X$6)</f>
        <v>1</v>
      </c>
      <c r="AK47" s="331">
        <f>COUNTIF('Data By District'!$E$7:$E$440,$B47&amp;"-"&amp;"Yes")</f>
        <v>1</v>
      </c>
      <c r="AL47" s="332">
        <f>COUNTIF('Data By District'!$F$7:$F$440,$B47&amp;"-"&amp;"Yes")</f>
        <v>0</v>
      </c>
      <c r="AM47" s="332">
        <f>COUNTIF('Data By District'!$G$7:$G$440,$B47&amp;"-"&amp;"Yes")</f>
        <v>0</v>
      </c>
      <c r="AN47" s="332">
        <f>COUNTIF('Data By District'!$H$7:$H$440,$B47&amp;"-"&amp;"Yes")</f>
        <v>0</v>
      </c>
      <c r="AO47" s="332">
        <f>COUNTIF('Data By District'!$I$7:$I$440,$B47&amp;"-"&amp;"Yes")</f>
        <v>0</v>
      </c>
      <c r="AP47" s="70">
        <f t="shared" si="44"/>
        <v>1.1069674888694831E-2</v>
      </c>
      <c r="AQ47" s="55">
        <f t="shared" si="25"/>
        <v>0.83039168497280313</v>
      </c>
      <c r="AR47" s="50">
        <f t="shared" si="26"/>
        <v>276319</v>
      </c>
      <c r="AS47" s="41">
        <f>SUMIF('Data By District'!$C$7:$C$440,$B47,'Data By District'!$O$7:$O$440)</f>
        <v>92485</v>
      </c>
      <c r="AT47" s="41">
        <f>SUMIF('Data By District'!$C$7:$C$440,$B47,'Data By District'!$Q$7:$Q$440)</f>
        <v>183834</v>
      </c>
      <c r="AU47" s="41">
        <f>SUMIF('Data By District'!$C$7:$C$440,$B47,'Data By District'!$S$7:$S$440)</f>
        <v>0</v>
      </c>
      <c r="AV47" s="263">
        <f t="shared" si="45"/>
        <v>0.33470373010904064</v>
      </c>
      <c r="AW47" s="24">
        <f t="shared" si="46"/>
        <v>0.66529626989095936</v>
      </c>
      <c r="AX47" s="56">
        <f t="shared" si="47"/>
        <v>0</v>
      </c>
      <c r="AY47" s="25">
        <f>COUNTIF('Data By District'!$AB$7:$AB$440,$B47&amp;"-"&amp;AY$6)</f>
        <v>0</v>
      </c>
      <c r="AZ47" s="25">
        <f>COUNTIF('Data By District'!$AB$7:$AB$440,$B47&amp;"-"&amp;AZ$6)</f>
        <v>1</v>
      </c>
      <c r="BA47" s="25">
        <f>COUNTIF('Data By District'!$AB$7:$AB$440,$B47&amp;"-"&amp;BA$6)</f>
        <v>0</v>
      </c>
      <c r="BB47" s="259">
        <f t="shared" si="27"/>
        <v>0</v>
      </c>
      <c r="BC47" s="24">
        <f t="shared" si="28"/>
        <v>1</v>
      </c>
      <c r="BD47" s="56">
        <f t="shared" si="29"/>
        <v>0</v>
      </c>
      <c r="BE47" s="259">
        <f t="shared" si="48"/>
        <v>0.33470373010904064</v>
      </c>
      <c r="BF47" s="24">
        <f t="shared" si="49"/>
        <v>0.33470373010904064</v>
      </c>
      <c r="BG47" s="56">
        <f t="shared" si="50"/>
        <v>0</v>
      </c>
      <c r="BH47" s="50">
        <f t="shared" si="30"/>
        <v>229453</v>
      </c>
      <c r="BI47" s="41">
        <f>'Data By District'!AH364</f>
        <v>46866</v>
      </c>
      <c r="BJ47" s="41">
        <f>SUMIF('Data By District'!$C$7:$C$440,'Data By State'!$B47,'Data By District'!$AD$7:$AD$440)</f>
        <v>92485</v>
      </c>
      <c r="BK47" s="41">
        <f>SUMIF('Data By District'!$C$7:$C$440,'Data By State'!$B47,'Data By District'!$AE$7:$AE$440)</f>
        <v>0</v>
      </c>
      <c r="BL47" s="50">
        <f>SUMIF('Data By District'!$C$7:$C$440,'Data By State'!$B47,'Data By District'!$AF$7:$AF$440)</f>
        <v>0</v>
      </c>
      <c r="BM47" s="64">
        <f t="shared" si="31"/>
        <v>0.16960831502719684</v>
      </c>
      <c r="BN47" s="24">
        <f t="shared" si="33"/>
        <v>1</v>
      </c>
      <c r="BO47" s="24">
        <f t="shared" si="34"/>
        <v>0</v>
      </c>
      <c r="BP47" s="56" t="e">
        <f t="shared" si="35"/>
        <v>#DIV/0!</v>
      </c>
    </row>
    <row r="48" spans="1:68" ht="16.5" thickBot="1">
      <c r="A48" s="17" t="s">
        <v>105</v>
      </c>
      <c r="B48" s="26" t="s">
        <v>41</v>
      </c>
      <c r="C48" s="437">
        <v>1374065</v>
      </c>
      <c r="D48" s="437">
        <v>4810559</v>
      </c>
      <c r="E48" s="25">
        <f t="shared" si="36"/>
        <v>43</v>
      </c>
      <c r="F48" s="25">
        <f t="shared" si="37"/>
        <v>45</v>
      </c>
      <c r="G48" s="73">
        <f t="shared" si="18"/>
        <v>40</v>
      </c>
      <c r="H48" s="25">
        <f t="shared" si="19"/>
        <v>41</v>
      </c>
      <c r="I48" s="25">
        <f t="shared" si="20"/>
        <v>40</v>
      </c>
      <c r="J48" s="25">
        <f t="shared" si="21"/>
        <v>15</v>
      </c>
      <c r="K48" s="68">
        <f t="shared" si="22"/>
        <v>46</v>
      </c>
      <c r="L48" s="67">
        <f t="shared" si="38"/>
        <v>35.200000000000003</v>
      </c>
      <c r="M48" s="64">
        <f t="shared" si="23"/>
        <v>0.365465097088851</v>
      </c>
      <c r="N48" s="419">
        <f>AVERAGEIF('Data By District'!$C$7:$C$441,B48,'Data By District'!$Y$7:$Y$441)</f>
        <v>0.43592747473927973</v>
      </c>
      <c r="O48" s="29">
        <f t="shared" si="39"/>
        <v>1</v>
      </c>
      <c r="P48" s="29">
        <f>SUMIF('Data By District'!$C$7:$C$440,B48,'Data By District'!$V$7:$V$440)/D48</f>
        <v>0.19750698411556744</v>
      </c>
      <c r="Q48" s="29">
        <f t="shared" si="40"/>
        <v>0.13176100804760024</v>
      </c>
      <c r="R48" s="70">
        <f t="shared" si="41"/>
        <v>0.28503153167854295</v>
      </c>
      <c r="S48" s="69">
        <f t="shared" si="42"/>
        <v>9</v>
      </c>
      <c r="T48" s="25">
        <f>COUNTIF('Data By District'!$AC$7:$AC$440,$B48&amp;"-"&amp;T$6)</f>
        <v>0</v>
      </c>
      <c r="U48" s="25">
        <f>COUNTIF('Data By District'!$AC$7:$AC$440,$B48&amp;"-"&amp;U$6)</f>
        <v>0</v>
      </c>
      <c r="V48" s="25">
        <f>COUNTIF('Data By District'!$AC$7:$AC$440,$B48&amp;"-"&amp;V$6)</f>
        <v>0</v>
      </c>
      <c r="W48" s="25">
        <f>COUNTIF('Data By District'!$AC$7:$AC$440,$B48&amp;"-"&amp;W$6)</f>
        <v>3</v>
      </c>
      <c r="X48" s="25">
        <f>COUNTIF('Data By District'!$AC$7:$AC$440,$B48&amp;"-"&amp;X$6)-(Y48)</f>
        <v>5</v>
      </c>
      <c r="Y48" s="25">
        <f>COUNTIF('Data By District'!$AA$7:$AA$440,$B48&amp;"-"&amp;"Yes")</f>
        <v>1</v>
      </c>
      <c r="Z48" s="348">
        <f t="shared" si="43"/>
        <v>0.1111111111111111</v>
      </c>
      <c r="AA48" s="350">
        <f>COUNTIF('Data By District'!$M$7:$M$440, $B48&amp;"-"&amp;1)</f>
        <v>0</v>
      </c>
      <c r="AB48" s="331">
        <f>COUNTIFS('Data By District'!$K$7:$K$440,$B48&amp;"-"&amp;"Yes",'Data By District'!$AC$7:$AC$440,$B48&amp;"-"&amp;X$6)+COUNTIFS('Data By District'!$K$7:$K$440,$B48&amp;"-"&amp;"Yes",'Data By District'!$AC$7:$AC$440,$B48&amp;"-"&amp;W$6)</f>
        <v>9</v>
      </c>
      <c r="AC48" s="328">
        <f t="shared" si="32"/>
        <v>1</v>
      </c>
      <c r="AD48" s="332">
        <f>COUNTIF('Data By District'!$K$7:$K$440,$B48&amp;"-"&amp;"Yes")</f>
        <v>9</v>
      </c>
      <c r="AE48" s="332">
        <f t="shared" si="24"/>
        <v>0</v>
      </c>
      <c r="AF48" s="332">
        <f>COUNTIF('Data By District'!$J$7:$J$440,$B48&amp;"-"&amp;"Yes")</f>
        <v>9</v>
      </c>
      <c r="AG48" s="332">
        <f>COUNTIFS('Data By District'!$K$7:$K$440,$B48&amp;"-"&amp;"Yes",'Data By District'!$AB$7:$AB$440,$B48&amp;"-"&amp;"Dem")</f>
        <v>2</v>
      </c>
      <c r="AH48" s="332">
        <f>COUNTIFS('Data By District'!$K$7:$K$440,$B48&amp;"-"&amp;"Yes",'Data By District'!$AB$7:$AB$440,$B48&amp;"-"&amp;"Rep")</f>
        <v>7</v>
      </c>
      <c r="AI48" s="332">
        <f>COUNTIFS('Data By District'!$K$7:$K$440,$B48&amp;"-"&amp;"Yes",'Data By District'!$AB$7:$AB$440,$B48&amp;"-"&amp;"Dem",'Data By District'!$K$7:$K$440,$B48&amp;"-"&amp;"Yes",'Data By District'!$AC$7:$AC$440,$B48&amp;"-"&amp;W$6)+COUNTIFS('Data By District'!$K$7:$K$440,$B48&amp;"-"&amp;"Yes",'Data By District'!$AB$7:$AB$440,$B48&amp;"-"&amp;"Dem",'Data By District'!$K$7:$K$440,$B48&amp;"-"&amp;"Yes",'Data By District'!$AC$7:$AC$440,$B48&amp;"-"&amp;X$6)</f>
        <v>2</v>
      </c>
      <c r="AJ48" s="332">
        <f>COUNTIFS('Data By District'!$K$7:$K$440,$B48&amp;"-"&amp;"Yes",'Data By District'!$AB$7:$AB$440,$B48&amp;"-"&amp;"Rep",'Data By District'!$K$7:$K$440,$B48&amp;"-"&amp;"Yes",'Data By District'!$AC$7:$AC$440,$B48&amp;"-"&amp;W$6)+COUNTIFS('Data By District'!$K$7:$K$440,$B48&amp;"-"&amp;"Yes",'Data By District'!$AB$7:$AB$440,$B48&amp;"-"&amp;"Rep",'Data By District'!$K$7:$K$440,$B48&amp;"-"&amp;"Yes",'Data By District'!$AC$7:$AC$440,$B48&amp;"-"&amp;X$6)</f>
        <v>7</v>
      </c>
      <c r="AK48" s="331">
        <f>COUNTIF('Data By District'!$E$7:$E$440,$B48&amp;"-"&amp;"Yes")</f>
        <v>2</v>
      </c>
      <c r="AL48" s="332">
        <f>COUNTIF('Data By District'!$F$7:$F$440,$B48&amp;"-"&amp;"Yes")</f>
        <v>0</v>
      </c>
      <c r="AM48" s="332">
        <f>COUNTIF('Data By District'!$G$7:$G$440,$B48&amp;"-"&amp;"Yes")</f>
        <v>0</v>
      </c>
      <c r="AN48" s="332">
        <f>COUNTIF('Data By District'!$H$7:$H$440,$B48&amp;"-"&amp;"Yes")</f>
        <v>0</v>
      </c>
      <c r="AO48" s="332">
        <f>COUNTIF('Data By District'!$I$7:$I$440,$B48&amp;"-"&amp;"Yes")</f>
        <v>0</v>
      </c>
      <c r="AP48" s="70">
        <f t="shared" si="44"/>
        <v>2.1134371372533321E-3</v>
      </c>
      <c r="AQ48" s="55">
        <f t="shared" si="25"/>
        <v>0.7759161761456167</v>
      </c>
      <c r="AR48" s="50">
        <f t="shared" si="26"/>
        <v>1371161</v>
      </c>
      <c r="AS48" s="41">
        <f>SUMIF('Data By District'!$C$7:$C$440,$B48,'Data By District'!$O$7:$O$440)</f>
        <v>448421</v>
      </c>
      <c r="AT48" s="41">
        <f>SUMIF('Data By District'!$C$7:$C$440,$B48,'Data By District'!$Q$7:$Q$440)</f>
        <v>848846</v>
      </c>
      <c r="AU48" s="41">
        <f>SUMIF('Data By District'!$C$7:$C$440,$B48,'Data By District'!$S$7:$S$440)</f>
        <v>73894</v>
      </c>
      <c r="AV48" s="263">
        <f t="shared" si="45"/>
        <v>0.32703745220291419</v>
      </c>
      <c r="AW48" s="24">
        <f t="shared" si="46"/>
        <v>0.61907099166326929</v>
      </c>
      <c r="AX48" s="56">
        <f t="shared" si="47"/>
        <v>5.3891556133816527E-2</v>
      </c>
      <c r="AY48" s="25">
        <f>COUNTIF('Data By District'!$AB$7:$AB$440,$B48&amp;"-"&amp;AY$6)</f>
        <v>2</v>
      </c>
      <c r="AZ48" s="25">
        <f>COUNTIF('Data By District'!$AB$7:$AB$440,$B48&amp;"-"&amp;AZ$6)</f>
        <v>7</v>
      </c>
      <c r="BA48" s="25">
        <f>COUNTIF('Data By District'!$AB$7:$AB$440,$B48&amp;"-"&amp;BA$6)</f>
        <v>0</v>
      </c>
      <c r="BB48" s="259">
        <f t="shared" si="27"/>
        <v>0.22222222222222221</v>
      </c>
      <c r="BC48" s="24">
        <f t="shared" si="28"/>
        <v>0.77777777777777779</v>
      </c>
      <c r="BD48" s="56">
        <f t="shared" si="29"/>
        <v>0</v>
      </c>
      <c r="BE48" s="259">
        <f t="shared" si="48"/>
        <v>0.10481522998069198</v>
      </c>
      <c r="BF48" s="24">
        <f t="shared" si="49"/>
        <v>0.1587067861145085</v>
      </c>
      <c r="BG48" s="56">
        <f t="shared" si="50"/>
        <v>5.3891556133816527E-2</v>
      </c>
      <c r="BH48" s="50">
        <f t="shared" si="30"/>
        <v>1063906</v>
      </c>
      <c r="BI48" s="41">
        <f>'Data By District'!AH373</f>
        <v>307255</v>
      </c>
      <c r="BJ48" s="41">
        <f>SUMIF('Data By District'!$C$7:$C$440,'Data By State'!$B48,'Data By District'!$AD$7:$AD$440)</f>
        <v>264897</v>
      </c>
      <c r="BK48" s="41">
        <f>SUMIF('Data By District'!$C$7:$C$440,'Data By State'!$B48,'Data By District'!$AE$7:$AE$440)</f>
        <v>82251</v>
      </c>
      <c r="BL48" s="50">
        <f>SUMIF('Data By District'!$C$7:$C$440,'Data By State'!$B48,'Data By District'!$AF$7:$AF$440)</f>
        <v>73894</v>
      </c>
      <c r="BM48" s="64">
        <f t="shared" si="31"/>
        <v>0.22408382385438325</v>
      </c>
      <c r="BN48" s="24">
        <f t="shared" si="33"/>
        <v>0.59073281581371073</v>
      </c>
      <c r="BO48" s="24">
        <f t="shared" si="34"/>
        <v>9.689743487040052E-2</v>
      </c>
      <c r="BP48" s="56">
        <f t="shared" si="35"/>
        <v>1</v>
      </c>
    </row>
    <row r="49" spans="1:70" ht="16.5" thickBot="1">
      <c r="A49" s="17" t="s">
        <v>106</v>
      </c>
      <c r="B49" s="26" t="s">
        <v>42</v>
      </c>
      <c r="C49" s="437">
        <v>4727208</v>
      </c>
      <c r="D49" s="437">
        <v>16679393</v>
      </c>
      <c r="E49" s="25">
        <f t="shared" si="36"/>
        <v>43</v>
      </c>
      <c r="F49" s="25">
        <f t="shared" si="37"/>
        <v>42</v>
      </c>
      <c r="G49" s="73">
        <f t="shared" si="18"/>
        <v>45</v>
      </c>
      <c r="H49" s="25">
        <f t="shared" si="19"/>
        <v>40</v>
      </c>
      <c r="I49" s="25">
        <f t="shared" si="20"/>
        <v>42</v>
      </c>
      <c r="J49" s="25">
        <f t="shared" si="21"/>
        <v>7</v>
      </c>
      <c r="K49" s="68">
        <f t="shared" si="22"/>
        <v>49</v>
      </c>
      <c r="L49" s="67">
        <f t="shared" si="38"/>
        <v>35.200000000000003</v>
      </c>
      <c r="M49" s="64">
        <f t="shared" si="23"/>
        <v>0.3794210768241717</v>
      </c>
      <c r="N49" s="419">
        <f>AVERAGEIF('Data By District'!$C$7:$C$441,B49,'Data By District'!$Y$7:$Y$441)</f>
        <v>0.48374390840161474</v>
      </c>
      <c r="O49" s="29">
        <f t="shared" si="39"/>
        <v>0.94444444444444442</v>
      </c>
      <c r="P49" s="29">
        <f>SUMIF('Data By District'!$C$7:$C$440,B49,'Data By District'!$V$7:$V$440)/D49</f>
        <v>0.19193684086705073</v>
      </c>
      <c r="Q49" s="29">
        <f t="shared" si="40"/>
        <v>5.8579944767184006E-2</v>
      </c>
      <c r="R49" s="70">
        <f t="shared" si="41"/>
        <v>0.26694652497246152</v>
      </c>
      <c r="S49" s="69">
        <f t="shared" si="42"/>
        <v>36</v>
      </c>
      <c r="T49" s="25">
        <f>COUNTIF('Data By District'!$AC$7:$AC$440,$B49&amp;"-"&amp;T$6)</f>
        <v>1</v>
      </c>
      <c r="U49" s="25">
        <f>COUNTIF('Data By District'!$AC$7:$AC$440,$B49&amp;"-"&amp;U$6)</f>
        <v>0</v>
      </c>
      <c r="V49" s="25">
        <f>COUNTIF('Data By District'!$AC$7:$AC$440,$B49&amp;"-"&amp;V$6)</f>
        <v>1</v>
      </c>
      <c r="W49" s="25">
        <f>COUNTIF('Data By District'!$AC$7:$AC$440,$B49&amp;"-"&amp;W$6)</f>
        <v>15</v>
      </c>
      <c r="X49" s="25">
        <f>COUNTIF('Data By District'!$AC$7:$AC$440,$B49&amp;"-"&amp;X$6)-(Y49)</f>
        <v>6</v>
      </c>
      <c r="Y49" s="25">
        <f>COUNTIF('Data By District'!$AA$7:$AA$440,$B49&amp;"-"&amp;"Yes")</f>
        <v>13</v>
      </c>
      <c r="Z49" s="348">
        <f t="shared" si="43"/>
        <v>0.3611111111111111</v>
      </c>
      <c r="AA49" s="350">
        <f>COUNTIF('Data By District'!$M$7:$M$440, $B49&amp;"-"&amp;1)</f>
        <v>0</v>
      </c>
      <c r="AB49" s="331">
        <f>COUNTIFS('Data By District'!$K$7:$K$440,$B49&amp;"-"&amp;"Yes",'Data By District'!$AC$7:$AC$440,$B49&amp;"-"&amp;X$6)+COUNTIFS('Data By District'!$K$7:$K$440,$B49&amp;"-"&amp;"Yes",'Data By District'!$AC$7:$AC$440,$B49&amp;"-"&amp;W$6)</f>
        <v>32</v>
      </c>
      <c r="AC49" s="328">
        <f t="shared" si="32"/>
        <v>0.96969696969696972</v>
      </c>
      <c r="AD49" s="332">
        <f>COUNTIF('Data By District'!$K$7:$K$440,$B49&amp;"-"&amp;"Yes")</f>
        <v>33</v>
      </c>
      <c r="AE49" s="332">
        <f t="shared" si="24"/>
        <v>1</v>
      </c>
      <c r="AF49" s="332">
        <f>COUNTIF('Data By District'!$J$7:$J$440,$B49&amp;"-"&amp;"Yes")</f>
        <v>34</v>
      </c>
      <c r="AG49" s="332">
        <f>COUNTIFS('Data By District'!$K$7:$K$440,$B49&amp;"-"&amp;"Yes",'Data By District'!$AB$7:$AB$440,$B49&amp;"-"&amp;"Dem")</f>
        <v>11</v>
      </c>
      <c r="AH49" s="332">
        <f>COUNTIFS('Data By District'!$K$7:$K$440,$B49&amp;"-"&amp;"Yes",'Data By District'!$AB$7:$AB$440,$B49&amp;"-"&amp;"Rep")</f>
        <v>22</v>
      </c>
      <c r="AI49" s="332">
        <f>COUNTIFS('Data By District'!$K$7:$K$440,$B49&amp;"-"&amp;"Yes",'Data By District'!$AB$7:$AB$440,$B49&amp;"-"&amp;"Dem",'Data By District'!$K$7:$K$440,$B49&amp;"-"&amp;"Yes",'Data By District'!$AC$7:$AC$440,$B49&amp;"-"&amp;W$6)+COUNTIFS('Data By District'!$K$7:$K$440,$B49&amp;"-"&amp;"Yes",'Data By District'!$AB$7:$AB$440,$B49&amp;"-"&amp;"Dem",'Data By District'!$K$7:$K$440,$B49&amp;"-"&amp;"Yes",'Data By District'!$AC$7:$AC$440,$B49&amp;"-"&amp;X$6)</f>
        <v>10</v>
      </c>
      <c r="AJ49" s="332">
        <f>COUNTIFS('Data By District'!$K$7:$K$440,$B49&amp;"-"&amp;"Yes",'Data By District'!$AB$7:$AB$440,$B49&amp;"-"&amp;"Rep",'Data By District'!$K$7:$K$440,$B49&amp;"-"&amp;"Yes",'Data By District'!$AC$7:$AC$440,$B49&amp;"-"&amp;W$6)+COUNTIFS('Data By District'!$K$7:$K$440,$B49&amp;"-"&amp;"Yes",'Data By District'!$AB$7:$AB$440,$B49&amp;"-"&amp;"Rep",'Data By District'!$K$7:$K$440,$B49&amp;"-"&amp;"Yes",'Data By District'!$AC$7:$AC$440,$B49&amp;"-"&amp;X$6)</f>
        <v>22</v>
      </c>
      <c r="AK49" s="331">
        <f>COUNTIF('Data By District'!$E$7:$E$440,$B49&amp;"-"&amp;"Yes")</f>
        <v>3</v>
      </c>
      <c r="AL49" s="332">
        <f>COUNTIF('Data By District'!$F$7:$F$440,$B49&amp;"-"&amp;"Yes")</f>
        <v>5</v>
      </c>
      <c r="AM49" s="332">
        <f>COUNTIF('Data By District'!$G$7:$G$440,$B49&amp;"-"&amp;"Yes")</f>
        <v>5</v>
      </c>
      <c r="AN49" s="332">
        <f>COUNTIF('Data By District'!$H$7:$H$440,$B49&amp;"-"&amp;"Yes")</f>
        <v>0</v>
      </c>
      <c r="AO49" s="332">
        <f>COUNTIF('Data By District'!$I$7:$I$440,$B49&amp;"-"&amp;"Yes")</f>
        <v>0</v>
      </c>
      <c r="AP49" s="70">
        <f t="shared" si="44"/>
        <v>5.8110834132959664E-2</v>
      </c>
      <c r="AQ49" s="55">
        <f t="shared" si="25"/>
        <v>1</v>
      </c>
      <c r="AR49" s="50">
        <f t="shared" si="26"/>
        <v>4452506</v>
      </c>
      <c r="AS49" s="41">
        <f>SUMIF('Data By District'!$C$7:$C$440,$B49,'Data By District'!$O$7:$O$440)</f>
        <v>1473883</v>
      </c>
      <c r="AT49" s="41">
        <f>SUMIF('Data By District'!$C$7:$C$440,$B49,'Data By District'!$Q$7:$Q$440)</f>
        <v>2683758</v>
      </c>
      <c r="AU49" s="41">
        <f>SUMIF('Data By District'!$C$7:$C$440,$B49,'Data By District'!$S$7:$S$440)</f>
        <v>294865</v>
      </c>
      <c r="AV49" s="263">
        <f t="shared" si="45"/>
        <v>0.33102324848074322</v>
      </c>
      <c r="AW49" s="24">
        <f t="shared" si="46"/>
        <v>0.60275224783526404</v>
      </c>
      <c r="AX49" s="56">
        <f t="shared" si="47"/>
        <v>6.6224503683992783E-2</v>
      </c>
      <c r="AY49" s="25">
        <f>COUNTIF('Data By District'!$AB$7:$AB$440,$B49&amp;"-"&amp;AY$6)</f>
        <v>11</v>
      </c>
      <c r="AZ49" s="25">
        <f>COUNTIF('Data By District'!$AB$7:$AB$440,$B49&amp;"-"&amp;AZ$6)</f>
        <v>25</v>
      </c>
      <c r="BA49" s="25">
        <f>COUNTIF('Data By District'!$AB$7:$AB$440,$B49&amp;"-"&amp;BA$6)</f>
        <v>0</v>
      </c>
      <c r="BB49" s="259">
        <f t="shared" si="27"/>
        <v>0.30555555555555558</v>
      </c>
      <c r="BC49" s="24">
        <f t="shared" si="28"/>
        <v>0.69444444444444442</v>
      </c>
      <c r="BD49" s="56">
        <f t="shared" si="29"/>
        <v>0</v>
      </c>
      <c r="BE49" s="259">
        <f t="shared" si="48"/>
        <v>2.5467692925187635E-2</v>
      </c>
      <c r="BF49" s="24">
        <f t="shared" si="49"/>
        <v>9.1692196609180376E-2</v>
      </c>
      <c r="BG49" s="56">
        <f t="shared" si="50"/>
        <v>6.6224503683992783E-2</v>
      </c>
      <c r="BH49" s="50">
        <f t="shared" si="30"/>
        <v>4452506</v>
      </c>
      <c r="BI49" s="41">
        <f>'Data By District'!AH404</f>
        <v>0</v>
      </c>
      <c r="BJ49" s="41">
        <f>SUMIF('Data By District'!$C$7:$C$440,'Data By State'!$B49,'Data By District'!$AD$7:$AD$440)</f>
        <v>806811</v>
      </c>
      <c r="BK49" s="41">
        <f>SUMIF('Data By District'!$C$7:$C$440,'Data By State'!$B49,'Data By District'!$AE$7:$AE$440)</f>
        <v>149440</v>
      </c>
      <c r="BL49" s="50">
        <f>SUMIF('Data By District'!$C$7:$C$440,'Data By State'!$B49,'Data By District'!$AF$7:$AF$440)</f>
        <v>294865</v>
      </c>
      <c r="BM49" s="64">
        <f t="shared" si="31"/>
        <v>0</v>
      </c>
      <c r="BN49" s="24">
        <f t="shared" si="33"/>
        <v>0.54740505182568766</v>
      </c>
      <c r="BO49" s="24">
        <f t="shared" si="34"/>
        <v>5.5683113007953769E-2</v>
      </c>
      <c r="BP49" s="56">
        <f t="shared" si="35"/>
        <v>1</v>
      </c>
    </row>
    <row r="50" spans="1:70" ht="16.5" thickBot="1">
      <c r="A50" s="17" t="s">
        <v>107</v>
      </c>
      <c r="B50" s="26" t="s">
        <v>43</v>
      </c>
      <c r="C50" s="437">
        <v>565970</v>
      </c>
      <c r="D50" s="437">
        <v>1911922</v>
      </c>
      <c r="E50" s="25">
        <f t="shared" si="36"/>
        <v>48</v>
      </c>
      <c r="F50" s="25">
        <f t="shared" si="37"/>
        <v>37</v>
      </c>
      <c r="G50" s="73">
        <f t="shared" si="18"/>
        <v>25</v>
      </c>
      <c r="H50" s="25">
        <f t="shared" si="19"/>
        <v>26</v>
      </c>
      <c r="I50" s="25">
        <f t="shared" si="20"/>
        <v>45</v>
      </c>
      <c r="J50" s="25">
        <f t="shared" si="21"/>
        <v>41</v>
      </c>
      <c r="K50" s="68">
        <f t="shared" si="22"/>
        <v>42</v>
      </c>
      <c r="L50" s="67">
        <f t="shared" si="38"/>
        <v>36.4</v>
      </c>
      <c r="M50" s="64">
        <f t="shared" si="23"/>
        <v>0.39307168031674766</v>
      </c>
      <c r="N50" s="419">
        <f>AVERAGEIF('Data By District'!$C$7:$C$441,B50,'Data By District'!$Y$7:$Y$441)</f>
        <v>0.30017180143307054</v>
      </c>
      <c r="O50" s="29">
        <f t="shared" si="39"/>
        <v>0.75</v>
      </c>
      <c r="P50" s="29">
        <f>SUMIF('Data By District'!$C$7:$C$440,B50,'Data By District'!$V$7:$V$440)/D50</f>
        <v>0.18360267835194113</v>
      </c>
      <c r="Q50" s="29">
        <f t="shared" si="40"/>
        <v>0.35167515368707325</v>
      </c>
      <c r="R50" s="70">
        <f t="shared" si="41"/>
        <v>0.29540117222355305</v>
      </c>
      <c r="S50" s="69">
        <f t="shared" si="42"/>
        <v>4</v>
      </c>
      <c r="T50" s="25">
        <f>COUNTIF('Data By District'!$AC$7:$AC$440,$B50&amp;"-"&amp;T$6)</f>
        <v>0</v>
      </c>
      <c r="U50" s="25">
        <f>COUNTIF('Data By District'!$AC$7:$AC$440,$B50&amp;"-"&amp;U$6)</f>
        <v>1</v>
      </c>
      <c r="V50" s="25">
        <f>COUNTIF('Data By District'!$AC$7:$AC$440,$B50&amp;"-"&amp;V$6)</f>
        <v>0</v>
      </c>
      <c r="W50" s="25">
        <f>COUNTIF('Data By District'!$AC$7:$AC$440,$B50&amp;"-"&amp;W$6)</f>
        <v>2</v>
      </c>
      <c r="X50" s="25">
        <f>COUNTIF('Data By District'!$AC$7:$AC$440,$B50&amp;"-"&amp;X$6)-(Y50)</f>
        <v>1</v>
      </c>
      <c r="Y50" s="25">
        <f>COUNTIF('Data By District'!$AA$7:$AA$440,$B50&amp;"-"&amp;"Yes")</f>
        <v>0</v>
      </c>
      <c r="Z50" s="348">
        <f t="shared" si="43"/>
        <v>0</v>
      </c>
      <c r="AA50" s="350">
        <f>COUNTIF('Data By District'!$M$7:$M$440, $B50&amp;"-"&amp;1)</f>
        <v>0</v>
      </c>
      <c r="AB50" s="331">
        <f>COUNTIFS('Data By District'!$K$7:$K$440,$B50&amp;"-"&amp;"Yes",'Data By District'!$AC$7:$AC$440,$B50&amp;"-"&amp;X$6)+COUNTIFS('Data By District'!$K$7:$K$440,$B50&amp;"-"&amp;"Yes",'Data By District'!$AC$7:$AC$440,$B50&amp;"-"&amp;W$6)</f>
        <v>3</v>
      </c>
      <c r="AC50" s="328">
        <f t="shared" si="32"/>
        <v>1</v>
      </c>
      <c r="AD50" s="332">
        <f>COUNTIF('Data By District'!$K$7:$K$440,$B50&amp;"-"&amp;"Yes")</f>
        <v>3</v>
      </c>
      <c r="AE50" s="332">
        <f t="shared" si="24"/>
        <v>0</v>
      </c>
      <c r="AF50" s="332">
        <f>COUNTIF('Data By District'!$J$7:$J$440,$B50&amp;"-"&amp;"Yes")</f>
        <v>3</v>
      </c>
      <c r="AG50" s="332">
        <f>COUNTIFS('Data By District'!$K$7:$K$440,$B50&amp;"-"&amp;"Yes",'Data By District'!$AB$7:$AB$440,$B50&amp;"-"&amp;"Dem")</f>
        <v>0</v>
      </c>
      <c r="AH50" s="332">
        <f>COUNTIFS('Data By District'!$K$7:$K$440,$B50&amp;"-"&amp;"Yes",'Data By District'!$AB$7:$AB$440,$B50&amp;"-"&amp;"Rep")</f>
        <v>3</v>
      </c>
      <c r="AI50" s="332">
        <f>COUNTIFS('Data By District'!$K$7:$K$440,$B50&amp;"-"&amp;"Yes",'Data By District'!$AB$7:$AB$440,$B50&amp;"-"&amp;"Dem",'Data By District'!$K$7:$K$440,$B50&amp;"-"&amp;"Yes",'Data By District'!$AC$7:$AC$440,$B50&amp;"-"&amp;W$6)+COUNTIFS('Data By District'!$K$7:$K$440,$B50&amp;"-"&amp;"Yes",'Data By District'!$AB$7:$AB$440,$B50&amp;"-"&amp;"Dem",'Data By District'!$K$7:$K$440,$B50&amp;"-"&amp;"Yes",'Data By District'!$AC$7:$AC$440,$B50&amp;"-"&amp;X$6)</f>
        <v>0</v>
      </c>
      <c r="AJ50" s="332">
        <f>COUNTIFS('Data By District'!$K$7:$K$440,$B50&amp;"-"&amp;"Yes",'Data By District'!$AB$7:$AB$440,$B50&amp;"-"&amp;"Rep",'Data By District'!$K$7:$K$440,$B50&amp;"-"&amp;"Yes",'Data By District'!$AC$7:$AC$440,$B50&amp;"-"&amp;W$6)+COUNTIFS('Data By District'!$K$7:$K$440,$B50&amp;"-"&amp;"Yes",'Data By District'!$AB$7:$AB$440,$B50&amp;"-"&amp;"Rep",'Data By District'!$K$7:$K$440,$B50&amp;"-"&amp;"Yes",'Data By District'!$AC$7:$AC$440,$B50&amp;"-"&amp;X$6)</f>
        <v>3</v>
      </c>
      <c r="AK50" s="331">
        <f>COUNTIF('Data By District'!$E$7:$E$440,$B50&amp;"-"&amp;"Yes")</f>
        <v>1</v>
      </c>
      <c r="AL50" s="332">
        <f>COUNTIF('Data By District'!$F$7:$F$440,$B50&amp;"-"&amp;"Yes")</f>
        <v>1</v>
      </c>
      <c r="AM50" s="332">
        <f>COUNTIF('Data By District'!$G$7:$G$440,$B50&amp;"-"&amp;"Yes")</f>
        <v>0</v>
      </c>
      <c r="AN50" s="332">
        <f>COUNTIF('Data By District'!$H$7:$H$440,$B50&amp;"-"&amp;"Yes")</f>
        <v>0</v>
      </c>
      <c r="AO50" s="332">
        <f>COUNTIF('Data By District'!$I$7:$I$440,$B50&amp;"-"&amp;"Yes")</f>
        <v>0</v>
      </c>
      <c r="AP50" s="70">
        <f t="shared" si="44"/>
        <v>2.0955174302524867E-3</v>
      </c>
      <c r="AQ50" s="55">
        <f t="shared" si="25"/>
        <v>1</v>
      </c>
      <c r="AR50" s="50">
        <f t="shared" si="26"/>
        <v>564784</v>
      </c>
      <c r="AS50" s="41">
        <f>SUMIF('Data By District'!$C$7:$C$440,$B50,'Data By District'!$O$7:$O$440)</f>
        <v>183491</v>
      </c>
      <c r="AT50" s="41">
        <f>SUMIF('Data By District'!$C$7:$C$440,$B50,'Data By District'!$Q$7:$Q$440)</f>
        <v>351034</v>
      </c>
      <c r="AU50" s="41">
        <f>SUMIF('Data By District'!$C$7:$C$440,$B50,'Data By District'!$S$7:$S$440)</f>
        <v>30259</v>
      </c>
      <c r="AV50" s="263">
        <f t="shared" si="45"/>
        <v>0.32488703645995637</v>
      </c>
      <c r="AW50" s="24">
        <f t="shared" si="46"/>
        <v>0.62153672908580981</v>
      </c>
      <c r="AX50" s="56">
        <f t="shared" si="47"/>
        <v>5.3576234454233831E-2</v>
      </c>
      <c r="AY50" s="25">
        <f>COUNTIF('Data By District'!$AB$7:$AB$440,$B50&amp;"-"&amp;AY$6)</f>
        <v>0</v>
      </c>
      <c r="AZ50" s="25">
        <f>COUNTIF('Data By District'!$AB$7:$AB$440,$B50&amp;"-"&amp;AZ$6)</f>
        <v>4</v>
      </c>
      <c r="BA50" s="25">
        <f>COUNTIF('Data By District'!$AB$7:$AB$440,$B50&amp;"-"&amp;BA$6)</f>
        <v>0</v>
      </c>
      <c r="BB50" s="259">
        <f t="shared" si="27"/>
        <v>0</v>
      </c>
      <c r="BC50" s="24">
        <f t="shared" si="28"/>
        <v>1</v>
      </c>
      <c r="BD50" s="56">
        <f t="shared" si="29"/>
        <v>0</v>
      </c>
      <c r="BE50" s="259">
        <f t="shared" si="48"/>
        <v>0.32488703645995637</v>
      </c>
      <c r="BF50" s="24">
        <f t="shared" si="49"/>
        <v>0.37846327091419019</v>
      </c>
      <c r="BG50" s="56">
        <f t="shared" si="50"/>
        <v>5.3576234454233831E-2</v>
      </c>
      <c r="BH50" s="50">
        <f t="shared" si="30"/>
        <v>564784</v>
      </c>
      <c r="BI50" s="41">
        <f>'Data By District'!AH407</f>
        <v>0</v>
      </c>
      <c r="BJ50" s="41">
        <f>SUMIF('Data By District'!$C$7:$C$440,'Data By State'!$B50,'Data By District'!$AD$7:$AD$440)</f>
        <v>183491</v>
      </c>
      <c r="BK50" s="41">
        <f>SUMIF('Data By District'!$C$7:$C$440,'Data By State'!$B50,'Data By District'!$AE$7:$AE$440)</f>
        <v>0</v>
      </c>
      <c r="BL50" s="50">
        <f>SUMIF('Data By District'!$C$7:$C$440,'Data By State'!$B50,'Data By District'!$AF$7:$AF$440)</f>
        <v>30259</v>
      </c>
      <c r="BM50" s="64">
        <f t="shared" si="31"/>
        <v>0</v>
      </c>
      <c r="BN50" s="24">
        <f t="shared" si="33"/>
        <v>1</v>
      </c>
      <c r="BO50" s="24">
        <f t="shared" si="34"/>
        <v>0</v>
      </c>
      <c r="BP50" s="56">
        <f t="shared" si="35"/>
        <v>1</v>
      </c>
    </row>
    <row r="51" spans="1:70" s="78" customFormat="1" ht="16.5" thickBot="1">
      <c r="A51" s="81" t="s">
        <v>108</v>
      </c>
      <c r="B51" s="26" t="s">
        <v>44</v>
      </c>
      <c r="C51" s="437">
        <v>193087</v>
      </c>
      <c r="D51" s="437">
        <v>497388</v>
      </c>
      <c r="E51" s="168">
        <f t="shared" si="36"/>
        <v>37</v>
      </c>
      <c r="F51" s="168">
        <f t="shared" si="37"/>
        <v>44</v>
      </c>
      <c r="G51" s="169">
        <f t="shared" si="18"/>
        <v>32</v>
      </c>
      <c r="H51" s="168">
        <f t="shared" si="19"/>
        <v>41</v>
      </c>
      <c r="I51" s="168">
        <f t="shared" si="20"/>
        <v>23</v>
      </c>
      <c r="J51" s="168">
        <f t="shared" si="21"/>
        <v>37</v>
      </c>
      <c r="K51" s="169">
        <f t="shared" si="22"/>
        <v>25</v>
      </c>
      <c r="L51" s="170">
        <f t="shared" si="38"/>
        <v>31.2</v>
      </c>
      <c r="M51" s="171">
        <f t="shared" si="23"/>
        <v>0.36582108091244986</v>
      </c>
      <c r="N51" s="419">
        <f>AVERAGEIF('Data By District'!$C$7:$C$441,B51,'Data By District'!$Y$7:$Y$441)</f>
        <v>0.33376326343052892</v>
      </c>
      <c r="O51" s="173">
        <f t="shared" si="39"/>
        <v>1</v>
      </c>
      <c r="P51" s="173">
        <f>SUMIF('Data By District'!$C$7:$C$440,B51,'Data By District'!$V$7:$V$440)/D51</f>
        <v>0.24799351813875686</v>
      </c>
      <c r="Q51" s="29">
        <f t="shared" si="40"/>
        <v>0.33311836828473551</v>
      </c>
      <c r="R51" s="174">
        <f t="shared" si="41"/>
        <v>0.38501934103758034</v>
      </c>
      <c r="S51" s="169">
        <f t="shared" si="42"/>
        <v>1</v>
      </c>
      <c r="T51" s="169">
        <f>COUNTIF('Data By District'!$AC$7:$AC$440,$B51&amp;"-"&amp;T$6)</f>
        <v>0</v>
      </c>
      <c r="U51" s="168">
        <f>COUNTIF('Data By District'!$AC$7:$AC$440,$B51&amp;"-"&amp;U$6)</f>
        <v>0</v>
      </c>
      <c r="V51" s="168">
        <f>COUNTIF('Data By District'!$AC$7:$AC$440,$B51&amp;"-"&amp;V$6)</f>
        <v>0</v>
      </c>
      <c r="W51" s="168">
        <f>COUNTIF('Data By District'!$AC$7:$AC$440,$B51&amp;"-"&amp;W$6)</f>
        <v>1</v>
      </c>
      <c r="X51" s="168">
        <f>COUNTIF('Data By District'!$AC$7:$AC$440,$B51&amp;"-"&amp;X$6)-(Y51)</f>
        <v>0</v>
      </c>
      <c r="Y51" s="168">
        <f>COUNTIF('Data By District'!$AA$7:$AA$440,$B51&amp;"-"&amp;"Yes")</f>
        <v>0</v>
      </c>
      <c r="Z51" s="349">
        <f t="shared" si="43"/>
        <v>0</v>
      </c>
      <c r="AA51" s="350">
        <f>COUNTIF('Data By District'!$M$7:$M$440, $B51&amp;"-"&amp;1)</f>
        <v>0</v>
      </c>
      <c r="AB51" s="331">
        <f>COUNTIFS('Data By District'!$K$7:$K$440,$B51&amp;"-"&amp;"Yes",'Data By District'!$AC$7:$AC$440,$B51&amp;"-"&amp;X$6)+COUNTIFS('Data By District'!$K$7:$K$440,$B51&amp;"-"&amp;"Yes",'Data By District'!$AC$7:$AC$440,$B51&amp;"-"&amp;W$6)</f>
        <v>1</v>
      </c>
      <c r="AC51" s="328">
        <f t="shared" si="32"/>
        <v>1</v>
      </c>
      <c r="AD51" s="332">
        <f>COUNTIF('Data By District'!$K$7:$K$440,$B51&amp;"-"&amp;"Yes")</f>
        <v>1</v>
      </c>
      <c r="AE51" s="332">
        <f t="shared" si="24"/>
        <v>0</v>
      </c>
      <c r="AF51" s="332">
        <f>COUNTIF('Data By District'!$J$7:$J$440,$B51&amp;"-"&amp;"Yes")</f>
        <v>1</v>
      </c>
      <c r="AG51" s="332">
        <f>COUNTIFS('Data By District'!$K$7:$K$440,$B51&amp;"-"&amp;"Yes",'Data By District'!$AB$7:$AB$440,$B51&amp;"-"&amp;"Dem")</f>
        <v>1</v>
      </c>
      <c r="AH51" s="332">
        <f>COUNTIFS('Data By District'!$K$7:$K$440,$B51&amp;"-"&amp;"Yes",'Data By District'!$AB$7:$AB$440,$B51&amp;"-"&amp;"Rep")</f>
        <v>0</v>
      </c>
      <c r="AI51" s="332">
        <f>COUNTIFS('Data By District'!$K$7:$K$440,$B51&amp;"-"&amp;"Yes",'Data By District'!$AB$7:$AB$440,$B51&amp;"-"&amp;"Dem",'Data By District'!$K$7:$K$440,$B51&amp;"-"&amp;"Yes",'Data By District'!$AC$7:$AC$440,$B51&amp;"-"&amp;W$6)+COUNTIFS('Data By District'!$K$7:$K$440,$B51&amp;"-"&amp;"Yes",'Data By District'!$AB$7:$AB$440,$B51&amp;"-"&amp;"Dem",'Data By District'!$K$7:$K$440,$B51&amp;"-"&amp;"Yes",'Data By District'!$AC$7:$AC$440,$B51&amp;"-"&amp;X$6)</f>
        <v>1</v>
      </c>
      <c r="AJ51" s="332">
        <f>COUNTIFS('Data By District'!$K$7:$K$440,$B51&amp;"-"&amp;"Yes",'Data By District'!$AB$7:$AB$440,$B51&amp;"-"&amp;"Rep",'Data By District'!$K$7:$K$440,$B51&amp;"-"&amp;"Yes",'Data By District'!$AC$7:$AC$440,$B51&amp;"-"&amp;W$6)+COUNTIFS('Data By District'!$K$7:$K$440,$B51&amp;"-"&amp;"Yes",'Data By District'!$AB$7:$AB$440,$B51&amp;"-"&amp;"Rep",'Data By District'!$K$7:$K$440,$B51&amp;"-"&amp;"Yes",'Data By District'!$AC$7:$AC$440,$B51&amp;"-"&amp;X$6)</f>
        <v>0</v>
      </c>
      <c r="AK51" s="331">
        <f>COUNTIF('Data By District'!$E$7:$E$440,$B51&amp;"-"&amp;"Yes")</f>
        <v>0</v>
      </c>
      <c r="AL51" s="332">
        <f>COUNTIF('Data By District'!$F$7:$F$440,$B51&amp;"-"&amp;"Yes")</f>
        <v>0</v>
      </c>
      <c r="AM51" s="332">
        <f>COUNTIF('Data By District'!$G$7:$G$440,$B51&amp;"-"&amp;"Yes")</f>
        <v>0</v>
      </c>
      <c r="AN51" s="332">
        <f>COUNTIF('Data By District'!$H$7:$H$440,$B51&amp;"-"&amp;"Yes")</f>
        <v>0</v>
      </c>
      <c r="AO51" s="332">
        <f>COUNTIF('Data By District'!$I$7:$I$440,$B51&amp;"-"&amp;"Yes")</f>
        <v>0</v>
      </c>
      <c r="AP51" s="335">
        <f t="shared" si="44"/>
        <v>8.1983768974607293E-3</v>
      </c>
      <c r="AQ51" s="55">
        <f t="shared" si="25"/>
        <v>5.9993524939426855E-2</v>
      </c>
      <c r="AR51" s="50">
        <f t="shared" si="26"/>
        <v>191504</v>
      </c>
      <c r="AS51" s="176">
        <f>SUMIF('Data By District'!$C$7:$C$440,$B51,'Data By District'!$O$7:$O$440)</f>
        <v>123349</v>
      </c>
      <c r="AT51" s="176">
        <f>SUMIF('Data By District'!$C$7:$C$440,$B51,'Data By District'!$Q$7:$Q$440)</f>
        <v>59432</v>
      </c>
      <c r="AU51" s="176">
        <f>SUMIF('Data By District'!$C$7:$C$440,$B51,'Data By District'!$S$7:$S$440)</f>
        <v>8723</v>
      </c>
      <c r="AV51" s="174">
        <f t="shared" si="45"/>
        <v>0.64410665051382743</v>
      </c>
      <c r="AW51" s="177">
        <f t="shared" si="46"/>
        <v>0.31034338708329851</v>
      </c>
      <c r="AX51" s="261">
        <f t="shared" si="47"/>
        <v>4.5549962402874095E-2</v>
      </c>
      <c r="AY51" s="168">
        <f>COUNTIF('Data By District'!$AB$7:$AB$440,$B51&amp;"-"&amp;AY$6)</f>
        <v>1</v>
      </c>
      <c r="AZ51" s="168">
        <f>COUNTIF('Data By District'!$AB$7:$AB$440,$B51&amp;"-"&amp;AZ$6)</f>
        <v>0</v>
      </c>
      <c r="BA51" s="168">
        <f>COUNTIF('Data By District'!$AB$7:$AB$440,$B51&amp;"-"&amp;BA$6)</f>
        <v>0</v>
      </c>
      <c r="BB51" s="260">
        <f t="shared" si="27"/>
        <v>1</v>
      </c>
      <c r="BC51" s="177">
        <f t="shared" si="28"/>
        <v>0</v>
      </c>
      <c r="BD51" s="261">
        <f t="shared" si="29"/>
        <v>0</v>
      </c>
      <c r="BE51" s="260">
        <f t="shared" si="48"/>
        <v>0.35589334948617257</v>
      </c>
      <c r="BF51" s="177">
        <f t="shared" si="49"/>
        <v>0.31034338708329851</v>
      </c>
      <c r="BG51" s="261">
        <f t="shared" si="50"/>
        <v>4.5549962402874095E-2</v>
      </c>
      <c r="BH51" s="50">
        <f t="shared" si="30"/>
        <v>11489</v>
      </c>
      <c r="BI51" s="176">
        <f>'Data By District'!AH408</f>
        <v>180015</v>
      </c>
      <c r="BJ51" s="176">
        <f>SUMIF('Data By District'!$C$7:$C$440,'Data By State'!$B51,'Data By District'!$AD$7:$AD$440)</f>
        <v>0</v>
      </c>
      <c r="BK51" s="176">
        <f>SUMIF('Data By District'!$C$7:$C$440,'Data By State'!$B51,'Data By District'!$AE$7:$AE$440)</f>
        <v>59432</v>
      </c>
      <c r="BL51" s="176">
        <f>SUMIF('Data By District'!$C$7:$C$440,'Data By State'!$B51,'Data By District'!$AF$7:$AF$440)</f>
        <v>8723</v>
      </c>
      <c r="BM51" s="178">
        <f t="shared" si="31"/>
        <v>0.94000647506057311</v>
      </c>
      <c r="BN51" s="177">
        <f t="shared" si="33"/>
        <v>0</v>
      </c>
      <c r="BO51" s="177">
        <f t="shared" si="34"/>
        <v>1</v>
      </c>
      <c r="BP51" s="175">
        <f t="shared" si="35"/>
        <v>1</v>
      </c>
      <c r="BQ51" s="126"/>
      <c r="BR51" s="77"/>
    </row>
    <row r="52" spans="1:70" ht="16.5" thickBot="1">
      <c r="A52" s="17" t="s">
        <v>109</v>
      </c>
      <c r="B52" s="26" t="s">
        <v>45</v>
      </c>
      <c r="C52" s="437">
        <v>2184473</v>
      </c>
      <c r="D52" s="437">
        <v>5987310</v>
      </c>
      <c r="E52" s="25">
        <f t="shared" si="36"/>
        <v>32</v>
      </c>
      <c r="F52" s="25">
        <f t="shared" si="37"/>
        <v>25</v>
      </c>
      <c r="G52" s="73">
        <f t="shared" si="18"/>
        <v>33</v>
      </c>
      <c r="H52" s="25">
        <f t="shared" si="19"/>
        <v>25</v>
      </c>
      <c r="I52" s="25">
        <f t="shared" si="20"/>
        <v>34</v>
      </c>
      <c r="J52" s="25">
        <f t="shared" si="21"/>
        <v>20</v>
      </c>
      <c r="K52" s="68">
        <f t="shared" si="22"/>
        <v>29</v>
      </c>
      <c r="L52" s="67">
        <f t="shared" si="38"/>
        <v>29.2</v>
      </c>
      <c r="M52" s="64">
        <f t="shared" si="23"/>
        <v>0.44825584700162296</v>
      </c>
      <c r="N52" s="419">
        <f>AVERAGEIF('Data By District'!$C$7:$C$441,B52,'Data By District'!$Y$7:$Y$441)</f>
        <v>0.33428913275858219</v>
      </c>
      <c r="O52" s="29">
        <f t="shared" si="39"/>
        <v>0.72727272727272729</v>
      </c>
      <c r="P52" s="29">
        <f>SUMIF('Data By District'!$C$7:$C$440,B52,'Data By District'!$V$7:$V$440)/D52</f>
        <v>0.23019018557582621</v>
      </c>
      <c r="Q52" s="29">
        <f t="shared" si="40"/>
        <v>0.15753927611222807</v>
      </c>
      <c r="R52" s="70">
        <f t="shared" si="41"/>
        <v>0.35664279952098688</v>
      </c>
      <c r="S52" s="69">
        <f t="shared" si="42"/>
        <v>11</v>
      </c>
      <c r="T52" s="25">
        <f>COUNTIF('Data By District'!$AC$7:$AC$440,$B52&amp;"-"&amp;T$6)</f>
        <v>0</v>
      </c>
      <c r="U52" s="25">
        <f>COUNTIF('Data By District'!$AC$7:$AC$440,$B52&amp;"-"&amp;U$6)</f>
        <v>0</v>
      </c>
      <c r="V52" s="25">
        <f>COUNTIF('Data By District'!$AC$7:$AC$440,$B52&amp;"-"&amp;V$6)</f>
        <v>3</v>
      </c>
      <c r="W52" s="25">
        <f>COUNTIF('Data By District'!$AC$7:$AC$440,$B52&amp;"-"&amp;W$6)</f>
        <v>5</v>
      </c>
      <c r="X52" s="25">
        <f>COUNTIF('Data By District'!$AC$7:$AC$440,$B52&amp;"-"&amp;X$6)-(Y52)</f>
        <v>0</v>
      </c>
      <c r="Y52" s="25">
        <f>COUNTIF('Data By District'!$AA$7:$AA$440,$B52&amp;"-"&amp;"Yes")</f>
        <v>3</v>
      </c>
      <c r="Z52" s="348">
        <f t="shared" si="43"/>
        <v>0.27272727272727271</v>
      </c>
      <c r="AA52" s="350">
        <f>COUNTIF('Data By District'!$M$7:$M$440, $B52&amp;"-"&amp;1)</f>
        <v>0</v>
      </c>
      <c r="AB52" s="331">
        <f>COUNTIFS('Data By District'!$K$7:$K$440,$B52&amp;"-"&amp;"Yes",'Data By District'!$AC$7:$AC$440,$B52&amp;"-"&amp;X$6)+COUNTIFS('Data By District'!$K$7:$K$440,$B52&amp;"-"&amp;"Yes",'Data By District'!$AC$7:$AC$440,$B52&amp;"-"&amp;W$6)</f>
        <v>6</v>
      </c>
      <c r="AC52" s="328">
        <f t="shared" si="32"/>
        <v>0.75</v>
      </c>
      <c r="AD52" s="332">
        <f>COUNTIF('Data By District'!$K$7:$K$440,$B52&amp;"-"&amp;"Yes")</f>
        <v>8</v>
      </c>
      <c r="AE52" s="332">
        <f t="shared" si="24"/>
        <v>0</v>
      </c>
      <c r="AF52" s="332">
        <f>COUNTIF('Data By District'!$J$7:$J$440,$B52&amp;"-"&amp;"Yes")</f>
        <v>8</v>
      </c>
      <c r="AG52" s="332">
        <f>COUNTIFS('Data By District'!$K$7:$K$440,$B52&amp;"-"&amp;"Yes",'Data By District'!$AB$7:$AB$440,$B52&amp;"-"&amp;"Dem")</f>
        <v>2</v>
      </c>
      <c r="AH52" s="332">
        <f>COUNTIFS('Data By District'!$K$7:$K$440,$B52&amp;"-"&amp;"Yes",'Data By District'!$AB$7:$AB$440,$B52&amp;"-"&amp;"Rep")</f>
        <v>6</v>
      </c>
      <c r="AI52" s="332">
        <f>COUNTIFS('Data By District'!$K$7:$K$440,$B52&amp;"-"&amp;"Yes",'Data By District'!$AB$7:$AB$440,$B52&amp;"-"&amp;"Dem",'Data By District'!$K$7:$K$440,$B52&amp;"-"&amp;"Yes",'Data By District'!$AC$7:$AC$440,$B52&amp;"-"&amp;W$6)+COUNTIFS('Data By District'!$K$7:$K$440,$B52&amp;"-"&amp;"Yes",'Data By District'!$AB$7:$AB$440,$B52&amp;"-"&amp;"Dem",'Data By District'!$K$7:$K$440,$B52&amp;"-"&amp;"Yes",'Data By District'!$AC$7:$AC$440,$B52&amp;"-"&amp;X$6)</f>
        <v>1</v>
      </c>
      <c r="AJ52" s="332">
        <f>COUNTIFS('Data By District'!$K$7:$K$440,$B52&amp;"-"&amp;"Yes",'Data By District'!$AB$7:$AB$440,$B52&amp;"-"&amp;"Rep",'Data By District'!$K$7:$K$440,$B52&amp;"-"&amp;"Yes",'Data By District'!$AC$7:$AC$440,$B52&amp;"-"&amp;W$6)+COUNTIFS('Data By District'!$K$7:$K$440,$B52&amp;"-"&amp;"Yes",'Data By District'!$AB$7:$AB$440,$B52&amp;"-"&amp;"Rep",'Data By District'!$K$7:$K$440,$B52&amp;"-"&amp;"Yes",'Data By District'!$AC$7:$AC$440,$B52&amp;"-"&amp;X$6)</f>
        <v>5</v>
      </c>
      <c r="AK52" s="331">
        <f>COUNTIF('Data By District'!$E$7:$E$440,$B52&amp;"-"&amp;"Yes")</f>
        <v>1</v>
      </c>
      <c r="AL52" s="332">
        <f>COUNTIF('Data By District'!$F$7:$F$440,$B52&amp;"-"&amp;"Yes")</f>
        <v>1</v>
      </c>
      <c r="AM52" s="332">
        <f>COUNTIF('Data By District'!$G$7:$G$440,$B52&amp;"-"&amp;"Yes")</f>
        <v>0</v>
      </c>
      <c r="AN52" s="332">
        <f>COUNTIF('Data By District'!$H$7:$H$440,$B52&amp;"-"&amp;"Yes")</f>
        <v>1</v>
      </c>
      <c r="AO52" s="332">
        <f>COUNTIF('Data By District'!$I$7:$I$440,$B52&amp;"-"&amp;"Yes")</f>
        <v>0</v>
      </c>
      <c r="AP52" s="70">
        <f t="shared" si="44"/>
        <v>2.2496043668198233E-2</v>
      </c>
      <c r="AQ52" s="55">
        <f t="shared" si="25"/>
        <v>1</v>
      </c>
      <c r="AR52" s="50">
        <f t="shared" si="26"/>
        <v>2135331</v>
      </c>
      <c r="AS52" s="41">
        <f>SUMIF('Data By District'!$C$7:$C$440,$B52,'Data By District'!$O$7:$O$440)</f>
        <v>845939</v>
      </c>
      <c r="AT52" s="41">
        <f>SUMIF('Data By District'!$C$7:$C$440,$B52,'Data By District'!$Q$7:$Q$440)</f>
        <v>1143747</v>
      </c>
      <c r="AU52" s="41">
        <f>SUMIF('Data By District'!$C$7:$C$440,$B52,'Data By District'!$S$7:$S$440)</f>
        <v>145645</v>
      </c>
      <c r="AV52" s="263">
        <f t="shared" si="45"/>
        <v>0.39616293679996217</v>
      </c>
      <c r="AW52" s="24">
        <f t="shared" si="46"/>
        <v>0.53562983912096063</v>
      </c>
      <c r="AX52" s="56">
        <f t="shared" si="47"/>
        <v>6.82072240790772E-2</v>
      </c>
      <c r="AY52" s="25">
        <f>COUNTIF('Data By District'!$AB$7:$AB$440,$B52&amp;"-"&amp;AY$6)</f>
        <v>3</v>
      </c>
      <c r="AZ52" s="25">
        <f>COUNTIF('Data By District'!$AB$7:$AB$440,$B52&amp;"-"&amp;AZ$6)</f>
        <v>8</v>
      </c>
      <c r="BA52" s="25">
        <f>COUNTIF('Data By District'!$AB$7:$AB$440,$B52&amp;"-"&amp;BA$6)</f>
        <v>0</v>
      </c>
      <c r="BB52" s="259">
        <f t="shared" si="27"/>
        <v>0.27272727272727271</v>
      </c>
      <c r="BC52" s="24">
        <f t="shared" si="28"/>
        <v>0.72727272727272729</v>
      </c>
      <c r="BD52" s="56">
        <f t="shared" si="29"/>
        <v>0</v>
      </c>
      <c r="BE52" s="259">
        <f t="shared" si="48"/>
        <v>0.12343566407268947</v>
      </c>
      <c r="BF52" s="24">
        <f t="shared" si="49"/>
        <v>0.19164288815176667</v>
      </c>
      <c r="BG52" s="56">
        <f t="shared" si="50"/>
        <v>6.82072240790772E-2</v>
      </c>
      <c r="BH52" s="50">
        <f t="shared" si="30"/>
        <v>2135331</v>
      </c>
      <c r="BI52" s="41">
        <f>'Data By District'!AH419</f>
        <v>0</v>
      </c>
      <c r="BJ52" s="41">
        <f>SUMIF('Data By District'!$C$7:$C$440,'Data By State'!$B52,'Data By District'!$AD$7:$AD$440)</f>
        <v>471860</v>
      </c>
      <c r="BK52" s="41">
        <f>SUMIF('Data By District'!$C$7:$C$440,'Data By State'!$B52,'Data By District'!$AE$7:$AE$440)</f>
        <v>139606</v>
      </c>
      <c r="BL52" s="50">
        <f>SUMIF('Data By District'!$C$7:$C$440,'Data By State'!$B52,'Data By District'!$AF$7:$AF$440)</f>
        <v>143223</v>
      </c>
      <c r="BM52" s="64">
        <f t="shared" si="31"/>
        <v>0</v>
      </c>
      <c r="BN52" s="24">
        <f t="shared" si="33"/>
        <v>0.55779435633065744</v>
      </c>
      <c r="BO52" s="24">
        <f t="shared" si="34"/>
        <v>0.12206021086831266</v>
      </c>
      <c r="BP52" s="56">
        <f t="shared" si="35"/>
        <v>0.98337052421984961</v>
      </c>
    </row>
    <row r="53" spans="1:70" ht="16.5" thickBot="1">
      <c r="A53" s="17" t="s">
        <v>110</v>
      </c>
      <c r="B53" s="26" t="s">
        <v>46</v>
      </c>
      <c r="C53" s="437">
        <v>2029189</v>
      </c>
      <c r="D53" s="437">
        <v>4926407</v>
      </c>
      <c r="E53" s="25">
        <f t="shared" si="36"/>
        <v>10</v>
      </c>
      <c r="F53" s="25">
        <f t="shared" si="37"/>
        <v>13</v>
      </c>
      <c r="G53" s="73">
        <f t="shared" si="18"/>
        <v>15</v>
      </c>
      <c r="H53" s="25">
        <f t="shared" si="19"/>
        <v>22</v>
      </c>
      <c r="I53" s="25">
        <f t="shared" si="20"/>
        <v>19</v>
      </c>
      <c r="J53" s="25">
        <f t="shared" si="21"/>
        <v>10</v>
      </c>
      <c r="K53" s="68">
        <f t="shared" si="22"/>
        <v>17</v>
      </c>
      <c r="L53" s="67">
        <f t="shared" si="38"/>
        <v>17</v>
      </c>
      <c r="M53" s="64">
        <f t="shared" si="23"/>
        <v>0.4980329742993268</v>
      </c>
      <c r="N53" s="419">
        <f>AVERAGEIF('Data By District'!$C$7:$C$441,B53,'Data By District'!$Y$7:$Y$441)</f>
        <v>0.24276665166784978</v>
      </c>
      <c r="O53" s="29">
        <f t="shared" si="39"/>
        <v>0.7</v>
      </c>
      <c r="P53" s="29">
        <f>SUMIF('Data By District'!$C$7:$C$440,B53,'Data By District'!$V$7:$V$440)/D53</f>
        <v>0.25834913761692851</v>
      </c>
      <c r="Q53" s="29">
        <f t="shared" si="40"/>
        <v>8.3766752069373229E-2</v>
      </c>
      <c r="R53" s="70">
        <f t="shared" si="41"/>
        <v>0.41198382512853687</v>
      </c>
      <c r="S53" s="69">
        <f t="shared" si="42"/>
        <v>10</v>
      </c>
      <c r="T53" s="25">
        <f>COUNTIF('Data By District'!$AC$7:$AC$440,$B53&amp;"-"&amp;T$6)</f>
        <v>1</v>
      </c>
      <c r="U53" s="25">
        <f>COUNTIF('Data By District'!$AC$7:$AC$440,$B53&amp;"-"&amp;U$6)</f>
        <v>1</v>
      </c>
      <c r="V53" s="25">
        <f>COUNTIF('Data By District'!$AC$7:$AC$440,$B53&amp;"-"&amp;V$6)</f>
        <v>1</v>
      </c>
      <c r="W53" s="25">
        <f>COUNTIF('Data By District'!$AC$7:$AC$440,$B53&amp;"-"&amp;W$6)</f>
        <v>5</v>
      </c>
      <c r="X53" s="25">
        <f>COUNTIF('Data By District'!$AC$7:$AC$440,$B53&amp;"-"&amp;X$6)-(Y53)</f>
        <v>1</v>
      </c>
      <c r="Y53" s="25">
        <f>COUNTIF('Data By District'!$AA$7:$AA$440,$B53&amp;"-"&amp;"Yes")</f>
        <v>1</v>
      </c>
      <c r="Z53" s="348">
        <f t="shared" si="43"/>
        <v>0.1</v>
      </c>
      <c r="AA53" s="350">
        <f>COUNTIF('Data By District'!$M$7:$M$440, $B53&amp;"-"&amp;1)</f>
        <v>0</v>
      </c>
      <c r="AB53" s="331">
        <f>COUNTIFS('Data By District'!$K$7:$K$440,$B53&amp;"-"&amp;"Yes",'Data By District'!$AC$7:$AC$440,$B53&amp;"-"&amp;X$6)+COUNTIFS('Data By District'!$K$7:$K$440,$B53&amp;"-"&amp;"Yes",'Data By District'!$AC$7:$AC$440,$B53&amp;"-"&amp;W$6)</f>
        <v>7</v>
      </c>
      <c r="AC53" s="328">
        <f t="shared" si="32"/>
        <v>0.77777777777777779</v>
      </c>
      <c r="AD53" s="332">
        <f>COUNTIF('Data By District'!$K$7:$K$440,$B53&amp;"-"&amp;"Yes")</f>
        <v>9</v>
      </c>
      <c r="AE53" s="332">
        <f t="shared" si="24"/>
        <v>0</v>
      </c>
      <c r="AF53" s="332">
        <f>COUNTIF('Data By District'!$J$7:$J$440,$B53&amp;"-"&amp;"Yes")</f>
        <v>9</v>
      </c>
      <c r="AG53" s="332">
        <f>COUNTIFS('Data By District'!$K$7:$K$440,$B53&amp;"-"&amp;"Yes",'Data By District'!$AB$7:$AB$440,$B53&amp;"-"&amp;"Dem")</f>
        <v>6</v>
      </c>
      <c r="AH53" s="332">
        <f>COUNTIFS('Data By District'!$K$7:$K$440,$B53&amp;"-"&amp;"Yes",'Data By District'!$AB$7:$AB$440,$B53&amp;"-"&amp;"Rep")</f>
        <v>3</v>
      </c>
      <c r="AI53" s="332">
        <f>COUNTIFS('Data By District'!$K$7:$K$440,$B53&amp;"-"&amp;"Yes",'Data By District'!$AB$7:$AB$440,$B53&amp;"-"&amp;"Dem",'Data By District'!$K$7:$K$440,$B53&amp;"-"&amp;"Yes",'Data By District'!$AC$7:$AC$440,$B53&amp;"-"&amp;W$6)+COUNTIFS('Data By District'!$K$7:$K$440,$B53&amp;"-"&amp;"Yes",'Data By District'!$AB$7:$AB$440,$B53&amp;"-"&amp;"Dem",'Data By District'!$K$7:$K$440,$B53&amp;"-"&amp;"Yes",'Data By District'!$AC$7:$AC$440,$B53&amp;"-"&amp;X$6)</f>
        <v>4</v>
      </c>
      <c r="AJ53" s="332">
        <f>COUNTIFS('Data By District'!$K$7:$K$440,$B53&amp;"-"&amp;"Yes",'Data By District'!$AB$7:$AB$440,$B53&amp;"-"&amp;"Rep",'Data By District'!$K$7:$K$440,$B53&amp;"-"&amp;"Yes",'Data By District'!$AC$7:$AC$440,$B53&amp;"-"&amp;W$6)+COUNTIFS('Data By District'!$K$7:$K$440,$B53&amp;"-"&amp;"Yes",'Data By District'!$AB$7:$AB$440,$B53&amp;"-"&amp;"Rep",'Data By District'!$K$7:$K$440,$B53&amp;"-"&amp;"Yes",'Data By District'!$AC$7:$AC$440,$B53&amp;"-"&amp;X$6)</f>
        <v>3</v>
      </c>
      <c r="AK53" s="331">
        <f>COUNTIF('Data By District'!$E$7:$E$440,$B53&amp;"-"&amp;"Yes")</f>
        <v>3</v>
      </c>
      <c r="AL53" s="332">
        <f>COUNTIF('Data By District'!$F$7:$F$440,$B53&amp;"-"&amp;"Yes")</f>
        <v>0</v>
      </c>
      <c r="AM53" s="332">
        <f>COUNTIF('Data By District'!$G$7:$G$440,$B53&amp;"-"&amp;"Yes")</f>
        <v>1</v>
      </c>
      <c r="AN53" s="332">
        <f>COUNTIF('Data By District'!$H$7:$H$440,$B53&amp;"-"&amp;"Yes")</f>
        <v>0</v>
      </c>
      <c r="AO53" s="332">
        <f>COUNTIF('Data By District'!$I$7:$I$440,$B53&amp;"-"&amp;"Yes")</f>
        <v>0</v>
      </c>
      <c r="AP53" s="70">
        <f t="shared" si="44"/>
        <v>-2.0254397200063671E-4</v>
      </c>
      <c r="AQ53" s="55">
        <f t="shared" si="25"/>
        <v>1</v>
      </c>
      <c r="AR53" s="50">
        <f t="shared" si="26"/>
        <v>2029600</v>
      </c>
      <c r="AS53" s="41">
        <f>SUMIF('Data By District'!$C$7:$C$440,$B53,'Data By District'!$O$7:$O$440)+SUMIF('Data By District'!$C$7:$C$440,$B53,'Data By District'!$P$7:$P$440)</f>
        <v>1047747</v>
      </c>
      <c r="AT53" s="41">
        <f>SUMIF('Data By District'!$C$7:$C$440,$B53,'Data By District'!$Q$7:$Q$440)+SUMIF('Data By District'!$C$7:$C$440,$B53,'Data By District'!$R$7:$R$440)</f>
        <v>981853</v>
      </c>
      <c r="AU53" s="41">
        <f>SUMIF('Data By District'!$C$7:$C$440,$B53,'Data By District'!$S$7:$S$440)</f>
        <v>0</v>
      </c>
      <c r="AV53" s="263">
        <f t="shared" si="45"/>
        <v>0.51623324793062675</v>
      </c>
      <c r="AW53" s="24">
        <f t="shared" si="46"/>
        <v>0.48376675206937325</v>
      </c>
      <c r="AX53" s="56">
        <f t="shared" si="47"/>
        <v>0</v>
      </c>
      <c r="AY53" s="25">
        <f>COUNTIF('Data By District'!$AB$7:$AB$440,$B53&amp;"-"&amp;AY$6)</f>
        <v>6</v>
      </c>
      <c r="AZ53" s="25">
        <f>COUNTIF('Data By District'!$AB$7:$AB$440,$B53&amp;"-"&amp;AZ$6)</f>
        <v>4</v>
      </c>
      <c r="BA53" s="25">
        <f>COUNTIF('Data By District'!$AB$7:$AB$440,$B53&amp;"-"&amp;BA$6)</f>
        <v>0</v>
      </c>
      <c r="BB53" s="259">
        <f t="shared" si="27"/>
        <v>0.6</v>
      </c>
      <c r="BC53" s="24">
        <f t="shared" si="28"/>
        <v>0.4</v>
      </c>
      <c r="BD53" s="56">
        <f t="shared" si="29"/>
        <v>0</v>
      </c>
      <c r="BE53" s="259">
        <f t="shared" si="48"/>
        <v>8.3766752069373229E-2</v>
      </c>
      <c r="BF53" s="24">
        <f t="shared" si="49"/>
        <v>8.3766752069373229E-2</v>
      </c>
      <c r="BG53" s="56">
        <f t="shared" si="50"/>
        <v>0</v>
      </c>
      <c r="BH53" s="50">
        <f t="shared" si="30"/>
        <v>2029600</v>
      </c>
      <c r="BI53" s="41">
        <f>'Data By District'!AH428</f>
        <v>0</v>
      </c>
      <c r="BJ53" s="41">
        <f>SUMIF('Data By District'!$C$7:$C$440,'Data By State'!$B53,'Data By District'!$AD$7:$AD$440)</f>
        <v>238793</v>
      </c>
      <c r="BK53" s="41">
        <f>SUMIF('Data By District'!$C$7:$C$440,'Data By State'!$B53,'Data By District'!$AE$7:$AE$440)</f>
        <v>442767</v>
      </c>
      <c r="BL53" s="50">
        <f>SUMIF('Data By District'!$C$7:$C$440,'Data By State'!$B53,'Data By District'!$AF$7:$AF$440)</f>
        <v>0</v>
      </c>
      <c r="BM53" s="64">
        <f t="shared" si="31"/>
        <v>0</v>
      </c>
      <c r="BN53" s="24">
        <f t="shared" si="33"/>
        <v>0.22791093651425393</v>
      </c>
      <c r="BO53" s="24">
        <f t="shared" si="34"/>
        <v>0.45095039685166721</v>
      </c>
      <c r="BP53" s="56" t="e">
        <f t="shared" si="35"/>
        <v>#DIV/0!</v>
      </c>
    </row>
    <row r="54" spans="1:70" ht="16.5" thickBot="1">
      <c r="A54" s="17" t="s">
        <v>111</v>
      </c>
      <c r="B54" s="26" t="s">
        <v>47</v>
      </c>
      <c r="C54" s="437">
        <v>451498</v>
      </c>
      <c r="D54" s="437">
        <v>1448656</v>
      </c>
      <c r="E54" s="25">
        <f t="shared" si="36"/>
        <v>38</v>
      </c>
      <c r="F54" s="25">
        <f t="shared" si="37"/>
        <v>16</v>
      </c>
      <c r="G54" s="73">
        <f t="shared" si="18"/>
        <v>4</v>
      </c>
      <c r="H54" s="25">
        <f t="shared" si="19"/>
        <v>6</v>
      </c>
      <c r="I54" s="25">
        <f t="shared" si="20"/>
        <v>49</v>
      </c>
      <c r="J54" s="25">
        <f t="shared" si="21"/>
        <v>49</v>
      </c>
      <c r="K54" s="68">
        <f t="shared" si="22"/>
        <v>41</v>
      </c>
      <c r="L54" s="67">
        <f t="shared" si="38"/>
        <v>31.4</v>
      </c>
      <c r="M54" s="64">
        <f t="shared" si="23"/>
        <v>0.48584293505932763</v>
      </c>
      <c r="N54" s="419">
        <f>AVERAGEIF('Data By District'!$C$7:$C$441,B54,'Data By District'!$Y$7:$Y$441)</f>
        <v>0.1387447683108827</v>
      </c>
      <c r="O54" s="29">
        <f t="shared" si="39"/>
        <v>0.33333333333333331</v>
      </c>
      <c r="P54" s="29">
        <f>SUMIF('Data By District'!$C$7:$C$440,B54,'Data By District'!$V$7:$V$440)/D54</f>
        <v>0.16646325973868192</v>
      </c>
      <c r="Q54" s="29">
        <f t="shared" si="40"/>
        <v>0.43163374253650982</v>
      </c>
      <c r="R54" s="70">
        <f t="shared" si="41"/>
        <v>0.30128477706232537</v>
      </c>
      <c r="S54" s="69">
        <f t="shared" si="42"/>
        <v>3</v>
      </c>
      <c r="T54" s="25">
        <f>COUNTIF('Data By District'!$AC$7:$AC$440,$B54&amp;"-"&amp;T$6)</f>
        <v>1</v>
      </c>
      <c r="U54" s="25">
        <f>COUNTIF('Data By District'!$AC$7:$AC$440,$B54&amp;"-"&amp;U$6)</f>
        <v>0</v>
      </c>
      <c r="V54" s="25">
        <f>COUNTIF('Data By District'!$AC$7:$AC$440,$B54&amp;"-"&amp;V$6)</f>
        <v>1</v>
      </c>
      <c r="W54" s="25">
        <f>COUNTIF('Data By District'!$AC$7:$AC$440,$B54&amp;"-"&amp;W$6)</f>
        <v>1</v>
      </c>
      <c r="X54" s="25">
        <f>COUNTIF('Data By District'!$AC$7:$AC$440,$B54&amp;"-"&amp;X$6)-(Y54)</f>
        <v>0</v>
      </c>
      <c r="Y54" s="25">
        <f>COUNTIF('Data By District'!$AA$7:$AA$440,$B54&amp;"-"&amp;"Yes")</f>
        <v>0</v>
      </c>
      <c r="Z54" s="348">
        <f t="shared" si="43"/>
        <v>0</v>
      </c>
      <c r="AA54" s="350">
        <f>COUNTIF('Data By District'!$M$7:$M$440, $B54&amp;"-"&amp;1)</f>
        <v>0</v>
      </c>
      <c r="AB54" s="331">
        <f>COUNTIFS('Data By District'!$K$7:$K$440,$B54&amp;"-"&amp;"Yes",'Data By District'!$AC$7:$AC$440,$B54&amp;"-"&amp;X$6)+COUNTIFS('Data By District'!$K$7:$K$440,$B54&amp;"-"&amp;"Yes",'Data By District'!$AC$7:$AC$440,$B54&amp;"-"&amp;W$6)</f>
        <v>1</v>
      </c>
      <c r="AC54" s="328">
        <f t="shared" si="32"/>
        <v>1</v>
      </c>
      <c r="AD54" s="332">
        <f>COUNTIF('Data By District'!$K$7:$K$440,$B54&amp;"-"&amp;"Yes")</f>
        <v>1</v>
      </c>
      <c r="AE54" s="332">
        <f t="shared" si="24"/>
        <v>1</v>
      </c>
      <c r="AF54" s="332">
        <f>COUNTIF('Data By District'!$J$7:$J$440,$B54&amp;"-"&amp;"Yes")</f>
        <v>2</v>
      </c>
      <c r="AG54" s="332">
        <f>COUNTIFS('Data By District'!$K$7:$K$440,$B54&amp;"-"&amp;"Yes",'Data By District'!$AB$7:$AB$440,$B54&amp;"-"&amp;"Dem")</f>
        <v>0</v>
      </c>
      <c r="AH54" s="332">
        <f>COUNTIFS('Data By District'!$K$7:$K$440,$B54&amp;"-"&amp;"Yes",'Data By District'!$AB$7:$AB$440,$B54&amp;"-"&amp;"Rep")</f>
        <v>1</v>
      </c>
      <c r="AI54" s="332">
        <f>COUNTIFS('Data By District'!$K$7:$K$440,$B54&amp;"-"&amp;"Yes",'Data By District'!$AB$7:$AB$440,$B54&amp;"-"&amp;"Dem",'Data By District'!$K$7:$K$440,$B54&amp;"-"&amp;"Yes",'Data By District'!$AC$7:$AC$440,$B54&amp;"-"&amp;W$6)+COUNTIFS('Data By District'!$K$7:$K$440,$B54&amp;"-"&amp;"Yes",'Data By District'!$AB$7:$AB$440,$B54&amp;"-"&amp;"Dem",'Data By District'!$K$7:$K$440,$B54&amp;"-"&amp;"Yes",'Data By District'!$AC$7:$AC$440,$B54&amp;"-"&amp;X$6)</f>
        <v>0</v>
      </c>
      <c r="AJ54" s="332">
        <f>COUNTIFS('Data By District'!$K$7:$K$440,$B54&amp;"-"&amp;"Yes",'Data By District'!$AB$7:$AB$440,$B54&amp;"-"&amp;"Rep",'Data By District'!$K$7:$K$440,$B54&amp;"-"&amp;"Yes",'Data By District'!$AC$7:$AC$440,$B54&amp;"-"&amp;W$6)+COUNTIFS('Data By District'!$K$7:$K$440,$B54&amp;"-"&amp;"Yes",'Data By District'!$AB$7:$AB$440,$B54&amp;"-"&amp;"Rep",'Data By District'!$K$7:$K$440,$B54&amp;"-"&amp;"Yes",'Data By District'!$AC$7:$AC$440,$B54&amp;"-"&amp;X$6)</f>
        <v>1</v>
      </c>
      <c r="AK54" s="331">
        <f>COUNTIF('Data By District'!$E$7:$E$440,$B54&amp;"-"&amp;"Yes")</f>
        <v>0</v>
      </c>
      <c r="AL54" s="332">
        <f>COUNTIF('Data By District'!$F$7:$F$440,$B54&amp;"-"&amp;"Yes")</f>
        <v>0</v>
      </c>
      <c r="AM54" s="332">
        <f>COUNTIF('Data By District'!$G$7:$G$440,$B54&amp;"-"&amp;"Yes")</f>
        <v>1</v>
      </c>
      <c r="AN54" s="332">
        <f>COUNTIF('Data By District'!$H$7:$H$440,$B54&amp;"-"&amp;"Yes")</f>
        <v>0</v>
      </c>
      <c r="AO54" s="332">
        <f>COUNTIF('Data By District'!$I$7:$I$440,$B54&amp;"-"&amp;"Yes")</f>
        <v>0</v>
      </c>
      <c r="AP54" s="70">
        <f t="shared" si="44"/>
        <v>3.3311332497596886E-2</v>
      </c>
      <c r="AQ54" s="55">
        <f t="shared" si="25"/>
        <v>1</v>
      </c>
      <c r="AR54" s="50">
        <f t="shared" si="26"/>
        <v>436458</v>
      </c>
      <c r="AS54" s="41">
        <f>SUMIF('Data By District'!$C$7:$C$440,$B54,'Data By District'!$O$7:$O$440)</f>
        <v>181470</v>
      </c>
      <c r="AT54" s="41">
        <f>SUMIF('Data By District'!$C$7:$C$440,$B54,'Data By District'!$Q$7:$Q$440)</f>
        <v>241148</v>
      </c>
      <c r="AU54" s="41">
        <f>SUMIF('Data By District'!$C$7:$C$440,$B54,'Data By District'!$S$7:$S$440)</f>
        <v>13840</v>
      </c>
      <c r="AV54" s="263">
        <f t="shared" si="45"/>
        <v>0.41577883782632008</v>
      </c>
      <c r="AW54" s="24">
        <f t="shared" si="46"/>
        <v>0.55251135275330043</v>
      </c>
      <c r="AX54" s="56">
        <f t="shared" si="47"/>
        <v>3.1709809420379508E-2</v>
      </c>
      <c r="AY54" s="25">
        <f>COUNTIF('Data By District'!$AB$7:$AB$440,$B54&amp;"-"&amp;AY$6)</f>
        <v>0</v>
      </c>
      <c r="AZ54" s="25">
        <f>COUNTIF('Data By District'!$AB$7:$AB$440,$B54&amp;"-"&amp;AZ$6)</f>
        <v>3</v>
      </c>
      <c r="BA54" s="25">
        <f>COUNTIF('Data By District'!$AB$7:$AB$440,$B54&amp;"-"&amp;BA$6)</f>
        <v>0</v>
      </c>
      <c r="BB54" s="259">
        <f t="shared" si="27"/>
        <v>0</v>
      </c>
      <c r="BC54" s="24">
        <f t="shared" si="28"/>
        <v>1</v>
      </c>
      <c r="BD54" s="56">
        <f t="shared" si="29"/>
        <v>0</v>
      </c>
      <c r="BE54" s="259">
        <f t="shared" si="48"/>
        <v>0.41577883782632008</v>
      </c>
      <c r="BF54" s="24">
        <f t="shared" si="49"/>
        <v>0.44748864724669957</v>
      </c>
      <c r="BG54" s="56">
        <f t="shared" si="50"/>
        <v>3.1709809420379508E-2</v>
      </c>
      <c r="BH54" s="50">
        <f t="shared" si="30"/>
        <v>436458</v>
      </c>
      <c r="BI54" s="41">
        <f>'Data By District'!AH431</f>
        <v>0</v>
      </c>
      <c r="BJ54" s="41">
        <f>SUMIF('Data By District'!$C$7:$C$440,'Data By State'!$B54,'Data By District'!$AD$7:$AD$440)</f>
        <v>181470</v>
      </c>
      <c r="BK54" s="41">
        <f>SUMIF('Data By District'!$C$7:$C$440,'Data By State'!$B54,'Data By District'!$AE$7:$AE$440)</f>
        <v>0</v>
      </c>
      <c r="BL54" s="50">
        <f>SUMIF('Data By District'!$C$7:$C$440,'Data By State'!$B54,'Data By District'!$AF$7:$AF$440)</f>
        <v>13840</v>
      </c>
      <c r="BM54" s="64">
        <f t="shared" si="31"/>
        <v>0</v>
      </c>
      <c r="BN54" s="24">
        <f t="shared" si="33"/>
        <v>1</v>
      </c>
      <c r="BO54" s="24">
        <f t="shared" si="34"/>
        <v>0</v>
      </c>
      <c r="BP54" s="56">
        <f t="shared" si="35"/>
        <v>1</v>
      </c>
    </row>
    <row r="55" spans="1:70" ht="16.5" thickBot="1">
      <c r="A55" s="17" t="s">
        <v>112</v>
      </c>
      <c r="B55" s="26" t="s">
        <v>48</v>
      </c>
      <c r="C55" s="437">
        <v>2410314</v>
      </c>
      <c r="D55" s="437">
        <v>4265187</v>
      </c>
      <c r="E55" s="25">
        <f t="shared" si="36"/>
        <v>5</v>
      </c>
      <c r="F55" s="25">
        <f t="shared" si="37"/>
        <v>9</v>
      </c>
      <c r="G55" s="73">
        <f t="shared" si="18"/>
        <v>21</v>
      </c>
      <c r="H55" s="25">
        <f t="shared" si="19"/>
        <v>18</v>
      </c>
      <c r="I55" s="25">
        <f t="shared" si="20"/>
        <v>1</v>
      </c>
      <c r="J55" s="25">
        <f t="shared" si="21"/>
        <v>11</v>
      </c>
      <c r="K55" s="68">
        <f t="shared" si="22"/>
        <v>2</v>
      </c>
      <c r="L55" s="67">
        <f t="shared" si="38"/>
        <v>10.4</v>
      </c>
      <c r="M55" s="64">
        <f t="shared" si="23"/>
        <v>0.54011849955959779</v>
      </c>
      <c r="N55" s="419">
        <f>AVERAGEIF('Data By District'!$C$7:$C$441,B55,'Data By District'!$Y$7:$Y$441)</f>
        <v>0.28100903025751783</v>
      </c>
      <c r="O55" s="29">
        <f t="shared" si="39"/>
        <v>0.625</v>
      </c>
      <c r="P55" s="29">
        <f>SUMIF('Data By District'!$C$7:$C$440,B55,'Data By District'!$V$7:$V$440)/D55</f>
        <v>0.35192360850766918</v>
      </c>
      <c r="Q55" s="29">
        <f t="shared" si="40"/>
        <v>9.7245688959831544E-2</v>
      </c>
      <c r="R55" s="70">
        <f t="shared" si="41"/>
        <v>0.55228059168331889</v>
      </c>
      <c r="S55" s="69">
        <f t="shared" si="42"/>
        <v>8</v>
      </c>
      <c r="T55" s="25">
        <f>COUNTIF('Data By District'!$AC$7:$AC$440,$B55&amp;"-"&amp;T$6)</f>
        <v>0</v>
      </c>
      <c r="U55" s="25">
        <f>COUNTIF('Data By District'!$AC$7:$AC$440,$B55&amp;"-"&amp;U$6)</f>
        <v>0</v>
      </c>
      <c r="V55" s="25">
        <f>COUNTIF('Data By District'!$AC$7:$AC$440,$B55&amp;"-"&amp;V$6)</f>
        <v>3</v>
      </c>
      <c r="W55" s="25">
        <f>COUNTIF('Data By District'!$AC$7:$AC$440,$B55&amp;"-"&amp;W$6)</f>
        <v>4</v>
      </c>
      <c r="X55" s="25">
        <f>COUNTIF('Data By District'!$AC$7:$AC$440,$B55&amp;"-"&amp;X$6)-(Y55)</f>
        <v>1</v>
      </c>
      <c r="Y55" s="25">
        <f>COUNTIF('Data By District'!$AA$7:$AA$440,$B55&amp;"-"&amp;"Yes")</f>
        <v>0</v>
      </c>
      <c r="Z55" s="348">
        <f t="shared" si="43"/>
        <v>0</v>
      </c>
      <c r="AA55" s="350">
        <f>COUNTIF('Data By District'!$M$7:$M$440, $B55&amp;"-"&amp;1)</f>
        <v>0</v>
      </c>
      <c r="AB55" s="331">
        <f>COUNTIFS('Data By District'!$K$7:$K$440,$B55&amp;"-"&amp;"Yes",'Data By District'!$AC$7:$AC$440,$B55&amp;"-"&amp;X$6)+COUNTIFS('Data By District'!$K$7:$K$440,$B55&amp;"-"&amp;"Yes",'Data By District'!$AC$7:$AC$440,$B55&amp;"-"&amp;W$6)</f>
        <v>5</v>
      </c>
      <c r="AC55" s="328">
        <f t="shared" si="32"/>
        <v>0.7142857142857143</v>
      </c>
      <c r="AD55" s="332">
        <f>COUNTIF('Data By District'!$K$7:$K$440,$B55&amp;"-"&amp;"Yes")</f>
        <v>7</v>
      </c>
      <c r="AE55" s="332">
        <f t="shared" si="24"/>
        <v>0</v>
      </c>
      <c r="AF55" s="332">
        <f>COUNTIF('Data By District'!$J$7:$J$440,$B55&amp;"-"&amp;"Yes")</f>
        <v>7</v>
      </c>
      <c r="AG55" s="332">
        <f>COUNTIFS('Data By District'!$K$7:$K$440,$B55&amp;"-"&amp;"Yes",'Data By District'!$AB$7:$AB$440,$B55&amp;"-"&amp;"Dem")</f>
        <v>3</v>
      </c>
      <c r="AH55" s="332">
        <f>COUNTIFS('Data By District'!$K$7:$K$440,$B55&amp;"-"&amp;"Yes",'Data By District'!$AB$7:$AB$440,$B55&amp;"-"&amp;"Rep")</f>
        <v>4</v>
      </c>
      <c r="AI55" s="332">
        <f>COUNTIFS('Data By District'!$K$7:$K$440,$B55&amp;"-"&amp;"Yes",'Data By District'!$AB$7:$AB$440,$B55&amp;"-"&amp;"Dem",'Data By District'!$K$7:$K$440,$B55&amp;"-"&amp;"Yes",'Data By District'!$AC$7:$AC$440,$B55&amp;"-"&amp;W$6)+COUNTIFS('Data By District'!$K$7:$K$440,$B55&amp;"-"&amp;"Yes",'Data By District'!$AB$7:$AB$440,$B55&amp;"-"&amp;"Dem",'Data By District'!$K$7:$K$440,$B55&amp;"-"&amp;"Yes",'Data By District'!$AC$7:$AC$440,$B55&amp;"-"&amp;X$6)</f>
        <v>2</v>
      </c>
      <c r="AJ55" s="332">
        <f>COUNTIFS('Data By District'!$K$7:$K$440,$B55&amp;"-"&amp;"Yes",'Data By District'!$AB$7:$AB$440,$B55&amp;"-"&amp;"Rep",'Data By District'!$K$7:$K$440,$B55&amp;"-"&amp;"Yes",'Data By District'!$AC$7:$AC$440,$B55&amp;"-"&amp;W$6)+COUNTIFS('Data By District'!$K$7:$K$440,$B55&amp;"-"&amp;"Yes",'Data By District'!$AB$7:$AB$440,$B55&amp;"-"&amp;"Rep",'Data By District'!$K$7:$K$440,$B55&amp;"-"&amp;"Yes",'Data By District'!$AC$7:$AC$440,$B55&amp;"-"&amp;X$6)</f>
        <v>3</v>
      </c>
      <c r="AK55" s="331">
        <f>COUNTIF('Data By District'!$E$7:$E$440,$B55&amp;"-"&amp;"Yes")</f>
        <v>1</v>
      </c>
      <c r="AL55" s="332">
        <f>COUNTIF('Data By District'!$F$7:$F$440,$B55&amp;"-"&amp;"Yes")</f>
        <v>1</v>
      </c>
      <c r="AM55" s="332">
        <f>COUNTIF('Data By District'!$G$7:$G$440,$B55&amp;"-"&amp;"Yes")</f>
        <v>0</v>
      </c>
      <c r="AN55" s="332">
        <f>COUNTIF('Data By District'!$H$7:$H$440,$B55&amp;"-"&amp;"Yes")</f>
        <v>0</v>
      </c>
      <c r="AO55" s="332">
        <f>COUNTIF('Data By District'!$I$7:$I$440,$B55&amp;"-"&amp;"Yes")</f>
        <v>0</v>
      </c>
      <c r="AP55" s="70">
        <f t="shared" si="44"/>
        <v>2.2708244651941614E-2</v>
      </c>
      <c r="AQ55" s="55">
        <f t="shared" si="25"/>
        <v>1</v>
      </c>
      <c r="AR55" s="50">
        <f t="shared" si="26"/>
        <v>2355580</v>
      </c>
      <c r="AS55" s="41">
        <f>SUMIF('Data By District'!$C$7:$C$440,$B55,'Data By District'!$O$7:$O$440)</f>
        <v>1102581</v>
      </c>
      <c r="AT55" s="41">
        <f>SUMIF('Data By District'!$C$7:$C$440,$B55,'Data By District'!$Q$7:$Q$440)</f>
        <v>1233336</v>
      </c>
      <c r="AU55" s="41">
        <f>SUMIF('Data By District'!$C$7:$C$440,$B55,'Data By District'!$S$7:$S$440)</f>
        <v>19663</v>
      </c>
      <c r="AV55" s="263">
        <f t="shared" si="45"/>
        <v>0.46807198227188207</v>
      </c>
      <c r="AW55" s="24">
        <f t="shared" si="46"/>
        <v>0.52358060435221898</v>
      </c>
      <c r="AX55" s="56">
        <f t="shared" si="47"/>
        <v>8.3474133758989297E-3</v>
      </c>
      <c r="AY55" s="25">
        <f>COUNTIF('Data By District'!$AB$7:$AB$440,$B55&amp;"-"&amp;AY$6)</f>
        <v>3</v>
      </c>
      <c r="AZ55" s="25">
        <f>COUNTIF('Data By District'!$AB$7:$AB$440,$B55&amp;"-"&amp;AZ$6)</f>
        <v>5</v>
      </c>
      <c r="BA55" s="25">
        <f>COUNTIF('Data By District'!$AB$7:$AB$440,$B55&amp;"-"&amp;BA$6)</f>
        <v>0</v>
      </c>
      <c r="BB55" s="259">
        <f t="shared" si="27"/>
        <v>0.375</v>
      </c>
      <c r="BC55" s="24">
        <f t="shared" si="28"/>
        <v>0.625</v>
      </c>
      <c r="BD55" s="56">
        <f t="shared" si="29"/>
        <v>0</v>
      </c>
      <c r="BE55" s="259">
        <f t="shared" si="48"/>
        <v>9.307198227188207E-2</v>
      </c>
      <c r="BF55" s="24">
        <f t="shared" si="49"/>
        <v>0.10141939564778102</v>
      </c>
      <c r="BG55" s="56">
        <f t="shared" si="50"/>
        <v>8.3474133758989297E-3</v>
      </c>
      <c r="BH55" s="50">
        <f t="shared" si="30"/>
        <v>2355580</v>
      </c>
      <c r="BI55" s="41">
        <f>'Data By District'!AH439</f>
        <v>0</v>
      </c>
      <c r="BJ55" s="41">
        <f>SUMIF('Data By District'!$C$7:$C$440,'Data By State'!$B55,'Data By District'!$AD$7:$AD$440)</f>
        <v>543248</v>
      </c>
      <c r="BK55" s="41">
        <f>SUMIF('Data By District'!$C$7:$C$440,'Data By State'!$B55,'Data By District'!$AE$7:$AE$440)</f>
        <v>291649</v>
      </c>
      <c r="BL55" s="50">
        <f>SUMIF('Data By District'!$C$7:$C$440,'Data By State'!$B55,'Data By District'!$AF$7:$AF$440)</f>
        <v>19663</v>
      </c>
      <c r="BM55" s="64">
        <f t="shared" si="31"/>
        <v>0</v>
      </c>
      <c r="BN55" s="24">
        <f t="shared" si="33"/>
        <v>0.49270575132348554</v>
      </c>
      <c r="BO55" s="24">
        <f t="shared" si="34"/>
        <v>0.23647165087210623</v>
      </c>
      <c r="BP55" s="56">
        <f t="shared" si="35"/>
        <v>1</v>
      </c>
    </row>
    <row r="56" spans="1:70" ht="16.5" thickBot="1">
      <c r="A56" s="17" t="s">
        <v>113</v>
      </c>
      <c r="B56" s="27" t="s">
        <v>49</v>
      </c>
      <c r="C56" s="437">
        <v>168390</v>
      </c>
      <c r="D56" s="437">
        <v>435103</v>
      </c>
      <c r="E56" s="25">
        <f t="shared" si="36"/>
        <v>34</v>
      </c>
      <c r="F56" s="25">
        <f t="shared" si="37"/>
        <v>47</v>
      </c>
      <c r="G56" s="73">
        <f t="shared" si="18"/>
        <v>43</v>
      </c>
      <c r="H56" s="25">
        <f t="shared" si="19"/>
        <v>41</v>
      </c>
      <c r="I56" s="25">
        <f t="shared" si="20"/>
        <v>17</v>
      </c>
      <c r="J56" s="25">
        <f t="shared" si="21"/>
        <v>34</v>
      </c>
      <c r="K56" s="68">
        <f t="shared" si="22"/>
        <v>26</v>
      </c>
      <c r="L56" s="67">
        <f t="shared" si="38"/>
        <v>30.4</v>
      </c>
      <c r="M56" s="64">
        <f t="shared" si="23"/>
        <v>0.35834903063596879</v>
      </c>
      <c r="N56" s="419">
        <f>AVERAGEIF('Data By District'!$C$7:$C$441,B56,'Data By District'!$Y$7:$Y$441)</f>
        <v>0.45569351907934585</v>
      </c>
      <c r="O56" s="29">
        <f t="shared" si="39"/>
        <v>1</v>
      </c>
      <c r="P56" s="29">
        <f>SUMIF('Data By District'!$C$7:$C$441,B56,'Data By District'!$V$7:$V$441)/D56</f>
        <v>0.2597959563597585</v>
      </c>
      <c r="Q56" s="29">
        <f t="shared" si="40"/>
        <v>0.27215324046032707</v>
      </c>
      <c r="R56" s="70">
        <f t="shared" si="41"/>
        <v>0.37945038301275791</v>
      </c>
      <c r="S56" s="69">
        <f t="shared" si="42"/>
        <v>1</v>
      </c>
      <c r="T56" s="25">
        <f>COUNTIF('Data By District'!$AC$7:$AC$441,$B56&amp;"-"&amp;T$6)</f>
        <v>0</v>
      </c>
      <c r="U56" s="25">
        <f>COUNTIF('Data By District'!$AC$7:$AC$441,$B56&amp;"-"&amp;U$6)</f>
        <v>0</v>
      </c>
      <c r="V56" s="418">
        <f>COUNTIF('Data By District'!$AC$7:$AC$441,$B56&amp;"-"&amp;V$6)</f>
        <v>0</v>
      </c>
      <c r="W56" s="418">
        <f>COUNTIF('Data By District'!$AC$7:$AC$441,$B56&amp;"-"&amp;W$6)</f>
        <v>0</v>
      </c>
      <c r="X56" s="418">
        <f>COUNTIF('Data By District'!$AC$7:$AC$441,$B56&amp;"-"&amp;X$6)</f>
        <v>1</v>
      </c>
      <c r="Y56" s="418">
        <f>COUNTIF('Data By District'!$AC$7:$AC$441,$B56&amp;"-"&amp;Y$6)</f>
        <v>0</v>
      </c>
      <c r="Z56" s="348">
        <f t="shared" si="43"/>
        <v>0</v>
      </c>
      <c r="AA56" s="350">
        <f>COUNTIF('Data By District'!$M$7:$M$440, $B56&amp;"-"&amp;1)</f>
        <v>0</v>
      </c>
      <c r="AB56" s="331">
        <f>COUNTIFS('Data By District'!$K$7:$K$441,$B56&amp;"-"&amp;"Yes",'Data By District'!$AC$7:$AC$441,$B56&amp;"-"&amp;X$6)+COUNTIFS('Data By District'!$K$7:$K$441,$B56&amp;"-"&amp;"Yes",'Data By District'!$AC$7:$AC$441,$B56&amp;"-"&amp;W$6)</f>
        <v>1</v>
      </c>
      <c r="AC56" s="328">
        <f>AB56/AD56</f>
        <v>1</v>
      </c>
      <c r="AD56" s="332">
        <f>COUNTIF('Data By District'!$K$7:$K$441,$B56&amp;"-"&amp;"Yes")</f>
        <v>1</v>
      </c>
      <c r="AE56" s="332">
        <f t="shared" si="24"/>
        <v>0</v>
      </c>
      <c r="AF56" s="332">
        <f>COUNTIF('Data By District'!$J$7:$J$441,$B56&amp;"-"&amp;"Yes")</f>
        <v>1</v>
      </c>
      <c r="AG56" s="332">
        <f>COUNTIFS('Data By District'!$K$7:$K$441,$B56&amp;"-"&amp;"Yes",'Data By District'!$AB$7:$AB$441,$B56&amp;"-"&amp;"Dem")</f>
        <v>0</v>
      </c>
      <c r="AH56" s="332">
        <f>COUNTIFS('Data By District'!$K$7:$K$441,$B56&amp;"-"&amp;"Yes",'Data By District'!$AB$7:$AB$441,$B56&amp;"-"&amp;"Rep")</f>
        <v>1</v>
      </c>
      <c r="AI56" s="332">
        <f>COUNTIFS('Data By District'!$K$7:$K$440,$B56&amp;"-"&amp;"Yes",'Data By District'!$AB$7:$AB$440,$B56&amp;"-"&amp;"Dem",'Data By District'!$K$7:$K$440,$B56&amp;"-"&amp;"Yes",'Data By District'!$AC$7:$AC$440,$B56&amp;"-"&amp;W$6)+COUNTIFS('Data By District'!$K$7:$K$440,$B56&amp;"-"&amp;"Yes",'Data By District'!$AB$7:$AB$440,$B56&amp;"-"&amp;"Dem",'Data By District'!$K$7:$K$440,$B56&amp;"-"&amp;"Yes",'Data By District'!$AC$7:$AC$440,$B56&amp;"-"&amp;X$6)</f>
        <v>0</v>
      </c>
      <c r="AJ56" s="332">
        <f>COUNTIFS('Data By District'!$K$7:$K$441,$B56&amp;"-"&amp;"Yes",'Data By District'!$AB$7:$AB$441,$B56&amp;"-"&amp;"Rep",'Data By District'!$K$7:$K$441,$B56&amp;"-"&amp;"Yes",'Data By District'!$AC$7:$AC$441,$B56&amp;"-"&amp;W$6)+COUNTIFS('Data By District'!$K$7:$K$441,$B56&amp;"-"&amp;"Yes",'Data By District'!$AB$7:$AB$441,$B56&amp;"-"&amp;"Rep",'Data By District'!$K$7:$K$441,$B56&amp;"-"&amp;"Yes",'Data By District'!$AC$7:$AC$441,$B56&amp;"-"&amp;X$6)</f>
        <v>1</v>
      </c>
      <c r="AK56" s="331">
        <f>COUNTIF('Data By District'!$E$7:$E$440,$B56&amp;"-"&amp;"Yes")</f>
        <v>0</v>
      </c>
      <c r="AL56" s="332">
        <f>COUNTIF('Data By District'!$F$7:$F$440,$B56&amp;"-"&amp;"Yes")</f>
        <v>0</v>
      </c>
      <c r="AM56" s="332">
        <f>COUNTIF('Data By District'!$G$7:$G$440,$B56&amp;"-"&amp;"Yes")</f>
        <v>0</v>
      </c>
      <c r="AN56" s="332">
        <f>COUNTIF('Data By District'!$H$7:$H$440,$B56&amp;"-"&amp;"Yes")</f>
        <v>0</v>
      </c>
      <c r="AO56" s="332">
        <f>COUNTIF('Data By District'!$I$7:$I$440,$B56&amp;"-"&amp;"Yes")</f>
        <v>0</v>
      </c>
      <c r="AP56" s="70">
        <f t="shared" si="44"/>
        <v>1.9537977314567374E-2</v>
      </c>
      <c r="AQ56" s="55">
        <f t="shared" si="25"/>
        <v>-4.1760145366444581</v>
      </c>
      <c r="AR56" s="50">
        <f t="shared" si="26"/>
        <v>165100</v>
      </c>
      <c r="AS56" s="41">
        <f>SUMIF('Data By District'!$C$7:$C$441,$B56,'Data By District'!$O$7:$O$441)</f>
        <v>37803</v>
      </c>
      <c r="AT56" s="41">
        <f>SUMIF('Data By District'!$C$7:$C$441,$B56,'Data By District'!$Q$7:$Q$441)</f>
        <v>113038</v>
      </c>
      <c r="AU56" s="41">
        <f>SUMIF('Data By District'!$C$7:$C$441,$B56,'Data By District'!$S$7:$S$441)</f>
        <v>14259</v>
      </c>
      <c r="AV56" s="263">
        <f t="shared" si="45"/>
        <v>0.22897032101756512</v>
      </c>
      <c r="AW56" s="24">
        <f t="shared" si="46"/>
        <v>0.68466384009691095</v>
      </c>
      <c r="AX56" s="56">
        <f t="shared" si="47"/>
        <v>8.6365838885523918E-2</v>
      </c>
      <c r="AY56" s="25">
        <f>COUNTIF('Data By District'!$AB$7:$AB$441,$B56&amp;"-"&amp;AY$6)</f>
        <v>0</v>
      </c>
      <c r="AZ56" s="25">
        <f>COUNTIF('Data By District'!$AB$7:$AB$441,$B56&amp;"-"&amp;AZ$6)</f>
        <v>1</v>
      </c>
      <c r="BA56" s="25">
        <f>COUNTIF('Data By District'!$AB$7:$AB$441,$B56&amp;"-"&amp;BA$6)</f>
        <v>0</v>
      </c>
      <c r="BB56" s="259">
        <f t="shared" si="27"/>
        <v>0</v>
      </c>
      <c r="BC56" s="24">
        <f t="shared" si="28"/>
        <v>1</v>
      </c>
      <c r="BD56" s="56">
        <f t="shared" si="29"/>
        <v>0</v>
      </c>
      <c r="BE56" s="259">
        <f t="shared" si="48"/>
        <v>0.22897032101756512</v>
      </c>
      <c r="BF56" s="24">
        <f t="shared" si="49"/>
        <v>0.31533615990308905</v>
      </c>
      <c r="BG56" s="56">
        <f t="shared" si="50"/>
        <v>8.6365838885523918E-2</v>
      </c>
      <c r="BH56" s="50">
        <f t="shared" si="30"/>
        <v>-689460</v>
      </c>
      <c r="BI56" s="41">
        <f>'Data By District'!AH440</f>
        <v>854560</v>
      </c>
      <c r="BJ56" s="41">
        <f>SUMIF('Data By District'!$C$7:$C$441,'Data By State'!$B56,'Data By District'!$AD$7:$AD$441)</f>
        <v>37803</v>
      </c>
      <c r="BK56" s="41">
        <f>SUMIF('Data By District'!$C$7:$C$441,'Data By State'!$B56,'Data By District'!$AE$7:$AE$441)</f>
        <v>0</v>
      </c>
      <c r="BL56" s="50">
        <f>SUMIF('Data By District'!$C$7:$C$441,'Data By State'!$B56,'Data By District'!$AF$7:$AF$441)</f>
        <v>14259</v>
      </c>
      <c r="BM56" s="64">
        <f t="shared" si="31"/>
        <v>5.1760145366444581</v>
      </c>
      <c r="BN56" s="24">
        <f t="shared" si="33"/>
        <v>1</v>
      </c>
      <c r="BO56" s="24">
        <f t="shared" si="34"/>
        <v>0</v>
      </c>
      <c r="BP56" s="56">
        <f t="shared" si="35"/>
        <v>1</v>
      </c>
    </row>
    <row r="57" spans="1:70" ht="16.5" thickBot="1">
      <c r="A57" s="53" t="s">
        <v>119</v>
      </c>
      <c r="B57" s="192"/>
      <c r="C57" s="34">
        <f>SUM(C7:C56)</f>
        <v>81511988</v>
      </c>
      <c r="D57" s="321">
        <f>SUM(D7:D56)</f>
        <v>221664120</v>
      </c>
      <c r="E57" s="74"/>
      <c r="F57" s="72"/>
      <c r="G57" s="35"/>
      <c r="H57" s="35"/>
      <c r="I57" s="35"/>
      <c r="J57" s="35"/>
      <c r="K57" s="320"/>
      <c r="L57" s="74"/>
      <c r="M57" s="35">
        <f>AVERAGE(M7:M56)</f>
        <v>0.45587955472269998</v>
      </c>
      <c r="N57" s="420">
        <f>AVERAGE(N7:N56)</f>
        <v>0.31993747969576458</v>
      </c>
      <c r="O57" s="35">
        <f t="shared" si="39"/>
        <v>0.73103448275862071</v>
      </c>
      <c r="P57" s="36">
        <f>BH57/D57</f>
        <v>0.24900879763490816</v>
      </c>
      <c r="Q57" s="35">
        <f t="shared" si="40"/>
        <v>3.9180510094093679E-2</v>
      </c>
      <c r="R57" s="71">
        <f>AVERAGE(R7:R56)</f>
        <v>0.38153877504964667</v>
      </c>
      <c r="S57" s="39">
        <f>SUM(S7:S56)</f>
        <v>435</v>
      </c>
      <c r="T57" s="38">
        <f t="shared" ref="T57:Y57" si="51">SUM(T7:T56)</f>
        <v>24</v>
      </c>
      <c r="U57" s="38">
        <f t="shared" si="51"/>
        <v>24</v>
      </c>
      <c r="V57" s="38">
        <f t="shared" si="51"/>
        <v>69</v>
      </c>
      <c r="W57" s="38">
        <f t="shared" si="51"/>
        <v>170</v>
      </c>
      <c r="X57" s="38">
        <f t="shared" si="51"/>
        <v>73</v>
      </c>
      <c r="Y57" s="38">
        <f t="shared" si="51"/>
        <v>75</v>
      </c>
      <c r="Z57" s="40">
        <f t="shared" si="43"/>
        <v>0.17241379310344829</v>
      </c>
      <c r="AA57" s="351">
        <f>SUM(AA7:AA56)</f>
        <v>0</v>
      </c>
      <c r="AB57" s="83">
        <f>SUM(AB7:AB56)</f>
        <v>295</v>
      </c>
      <c r="AC57" s="333">
        <f t="shared" si="32"/>
        <v>0.78877005347593587</v>
      </c>
      <c r="AD57" s="101">
        <f t="shared" ref="AD57:AO57" si="52">SUM(AD7:AD56)</f>
        <v>374</v>
      </c>
      <c r="AE57" s="108">
        <f t="shared" si="52"/>
        <v>13</v>
      </c>
      <c r="AF57" s="108">
        <f t="shared" si="52"/>
        <v>387</v>
      </c>
      <c r="AG57" s="108">
        <f>SUM(AG7:AG56)</f>
        <v>171</v>
      </c>
      <c r="AH57" s="108">
        <f>SUM(AH7:AH56)</f>
        <v>203</v>
      </c>
      <c r="AI57" s="108">
        <f>SUM(AI7:AI56)</f>
        <v>117</v>
      </c>
      <c r="AJ57" s="108">
        <f>SUM(AJ7:AJ56)</f>
        <v>178</v>
      </c>
      <c r="AK57" s="345">
        <f t="shared" si="52"/>
        <v>83</v>
      </c>
      <c r="AL57" s="108">
        <f t="shared" si="52"/>
        <v>43</v>
      </c>
      <c r="AM57" s="108">
        <f t="shared" si="52"/>
        <v>29</v>
      </c>
      <c r="AN57" s="108">
        <f t="shared" si="52"/>
        <v>10</v>
      </c>
      <c r="AO57" s="108">
        <f t="shared" si="52"/>
        <v>2</v>
      </c>
      <c r="AP57" s="71">
        <f t="shared" si="44"/>
        <v>4.3590815132615833E-2</v>
      </c>
      <c r="AQ57" s="40">
        <f>BH57/AR57</f>
        <v>0.7080189290719584</v>
      </c>
      <c r="AR57" s="54">
        <f>SUM(AR7:AR56)</f>
        <v>77958814</v>
      </c>
      <c r="AS57" s="127">
        <f>SUM(AS7:AS56)</f>
        <v>35616073</v>
      </c>
      <c r="AT57" s="128">
        <f>SUM(AT7:AT56)</f>
        <v>40080865</v>
      </c>
      <c r="AU57" s="54">
        <f>SUM(AU7:AU56)</f>
        <v>2261876</v>
      </c>
      <c r="AV57" s="44">
        <f t="shared" si="45"/>
        <v>0.45685755301510872</v>
      </c>
      <c r="AW57" s="44">
        <f t="shared" si="46"/>
        <v>0.51412871673496729</v>
      </c>
      <c r="AX57" s="44">
        <f t="shared" si="47"/>
        <v>2.9013730249924017E-2</v>
      </c>
      <c r="AY57" s="43">
        <f>SUM(AY7:AY56)</f>
        <v>188</v>
      </c>
      <c r="AZ57" s="38">
        <f>SUM(AZ7:AZ56)</f>
        <v>247</v>
      </c>
      <c r="BA57" s="39">
        <f>SUM(BA7:BA56)</f>
        <v>0</v>
      </c>
      <c r="BB57" s="44">
        <f>AY57/$S57</f>
        <v>0.43218390804597701</v>
      </c>
      <c r="BC57" s="44">
        <f t="shared" si="28"/>
        <v>0.56781609195402294</v>
      </c>
      <c r="BD57" s="44">
        <f t="shared" si="29"/>
        <v>0</v>
      </c>
      <c r="BE57" s="339">
        <f t="shared" si="48"/>
        <v>2.4673644969131714E-2</v>
      </c>
      <c r="BF57" s="44">
        <f t="shared" si="49"/>
        <v>5.3687375219055644E-2</v>
      </c>
      <c r="BG57" s="44">
        <f t="shared" si="50"/>
        <v>2.9013730249924017E-2</v>
      </c>
      <c r="BH57" s="319">
        <f>SUM(BH7:BH56)</f>
        <v>55196316</v>
      </c>
      <c r="BI57" s="45">
        <f>SUM(BI7:BI56)</f>
        <v>22762498</v>
      </c>
      <c r="BJ57" s="45">
        <f>SUM(BJ7:BJ56)</f>
        <v>14519770</v>
      </c>
      <c r="BK57" s="45">
        <f>SUM(BK7:BK56)</f>
        <v>9410546</v>
      </c>
      <c r="BL57" s="51">
        <f>SUM(BL7:BL56)</f>
        <v>2259454</v>
      </c>
      <c r="BM57" s="265">
        <f t="shared" si="31"/>
        <v>0.29198107092804154</v>
      </c>
      <c r="BN57" s="44">
        <f t="shared" si="33"/>
        <v>0.40767464734250741</v>
      </c>
      <c r="BO57" s="44">
        <f t="shared" si="34"/>
        <v>0.23478899469859246</v>
      </c>
      <c r="BP57" s="40">
        <f>BL57/AU57</f>
        <v>0.99892920743665881</v>
      </c>
    </row>
    <row r="58" spans="1:70">
      <c r="N58" s="9"/>
      <c r="AB58" s="5"/>
      <c r="BI58" s="194"/>
    </row>
    <row r="59" spans="1:70">
      <c r="BM59"/>
      <c r="BN59"/>
      <c r="BO59"/>
    </row>
    <row r="60" spans="1:70">
      <c r="C60" s="7" t="s">
        <v>250</v>
      </c>
    </row>
    <row r="61" spans="1:70">
      <c r="C61" s="7" t="s">
        <v>833</v>
      </c>
    </row>
    <row r="62" spans="1:70">
      <c r="C62" s="7" t="s">
        <v>835</v>
      </c>
    </row>
    <row r="64" spans="1:70">
      <c r="C64" s="7" t="s">
        <v>834</v>
      </c>
      <c r="S64" s="5"/>
      <c r="Y64" s="7"/>
      <c r="BP64"/>
      <c r="BR64" s="7"/>
    </row>
    <row r="65" spans="3:70">
      <c r="C65" s="7" t="s">
        <v>255</v>
      </c>
      <c r="K65" s="5"/>
      <c r="L65" s="5"/>
      <c r="M65" s="5"/>
      <c r="N65" s="5"/>
      <c r="O65" s="5"/>
      <c r="P65" s="5"/>
      <c r="T65" s="7"/>
      <c r="U65" s="7"/>
      <c r="V65" s="7"/>
      <c r="W65" s="7"/>
      <c r="X65" s="7"/>
      <c r="Y65" s="7"/>
      <c r="BH65"/>
      <c r="BI65"/>
      <c r="BQ65" s="7"/>
      <c r="BR65" s="7"/>
    </row>
    <row r="66" spans="3:70">
      <c r="C66" s="7" t="s">
        <v>836</v>
      </c>
      <c r="L66" s="5"/>
      <c r="M66" s="5"/>
      <c r="N66" s="5"/>
      <c r="O66" s="5"/>
      <c r="P66" s="5"/>
      <c r="Q66" s="5"/>
      <c r="T66" s="7"/>
      <c r="U66" s="7"/>
      <c r="V66" s="7"/>
      <c r="W66" s="7"/>
      <c r="X66" s="7"/>
      <c r="Y66" s="7"/>
      <c r="BI66"/>
      <c r="BJ66"/>
      <c r="BQ66" s="7"/>
      <c r="BR66" s="7"/>
    </row>
    <row r="67" spans="3:70">
      <c r="L67" s="5"/>
      <c r="M67" s="5"/>
      <c r="N67" s="5"/>
      <c r="O67" s="5"/>
      <c r="P67" s="5"/>
      <c r="Q67" s="5"/>
      <c r="T67" s="7"/>
      <c r="U67" s="7"/>
      <c r="V67" s="7"/>
      <c r="W67" s="7"/>
      <c r="X67" s="7"/>
      <c r="Y67" s="7"/>
      <c r="BI67"/>
      <c r="BJ67"/>
      <c r="BQ67" s="7"/>
      <c r="BR67" s="7"/>
    </row>
    <row r="68" spans="3:70">
      <c r="L68" s="5"/>
      <c r="M68" s="5"/>
      <c r="N68" s="5"/>
      <c r="O68" s="5"/>
      <c r="P68" s="5"/>
      <c r="Q68" s="5"/>
      <c r="T68" s="7"/>
      <c r="U68" s="7"/>
      <c r="V68" s="7"/>
      <c r="W68" s="7"/>
      <c r="X68" s="7"/>
      <c r="Y68" s="7"/>
      <c r="BI68"/>
      <c r="BJ68"/>
      <c r="BQ68" s="7"/>
      <c r="BR68" s="7"/>
    </row>
    <row r="69" spans="3:70">
      <c r="L69" s="5"/>
      <c r="M69" s="5"/>
      <c r="N69" s="5"/>
      <c r="O69" s="5"/>
      <c r="P69" s="5"/>
      <c r="Q69" s="5"/>
      <c r="T69" s="7"/>
      <c r="U69" s="7"/>
      <c r="V69" s="7"/>
      <c r="W69" s="7"/>
      <c r="X69" s="7"/>
      <c r="Y69" s="7"/>
      <c r="BI69"/>
      <c r="BJ69"/>
      <c r="BQ69" s="7"/>
      <c r="BR69" s="7"/>
    </row>
    <row r="70" spans="3:70">
      <c r="L70" s="5"/>
      <c r="M70" s="5"/>
      <c r="N70" s="5"/>
      <c r="O70" s="5"/>
      <c r="P70" s="5"/>
      <c r="Q70" s="5"/>
      <c r="T70" s="7"/>
      <c r="U70" s="7"/>
      <c r="V70" s="7"/>
      <c r="W70" s="7"/>
      <c r="X70" s="7"/>
      <c r="Y70" s="7"/>
      <c r="BI70"/>
      <c r="BJ70"/>
      <c r="BQ70" s="7"/>
      <c r="BR70" s="7"/>
    </row>
    <row r="71" spans="3:70">
      <c r="L71" s="5"/>
      <c r="M71" s="5"/>
      <c r="N71" s="5"/>
      <c r="O71" s="5"/>
      <c r="P71" s="5"/>
      <c r="Q71" s="5"/>
      <c r="T71" s="7"/>
      <c r="U71" s="7"/>
      <c r="V71" s="7"/>
      <c r="W71" s="7"/>
      <c r="X71" s="7"/>
      <c r="Y71" s="7"/>
      <c r="BI71"/>
      <c r="BJ71"/>
      <c r="BQ71" s="7"/>
      <c r="BR71" s="7"/>
    </row>
    <row r="72" spans="3:70">
      <c r="L72" s="5"/>
      <c r="M72" s="5"/>
      <c r="N72" s="5"/>
      <c r="O72" s="5"/>
      <c r="P72" s="5"/>
      <c r="Q72" s="5"/>
      <c r="T72" s="7"/>
      <c r="U72" s="7"/>
      <c r="V72" s="7"/>
      <c r="W72" s="7"/>
      <c r="X72" s="7"/>
      <c r="Y72" s="7"/>
      <c r="BI72"/>
      <c r="BJ72"/>
      <c r="BQ72" s="7"/>
      <c r="BR72" s="7"/>
    </row>
  </sheetData>
  <phoneticPr fontId="0" type="noConversion"/>
  <pageMargins left="0.5" right="0.5" top="1" bottom="1" header="0.5" footer="0.5"/>
  <pageSetup scale="55" orientation="landscape" r:id="rId1"/>
  <headerFooter alignWithMargins="0">
    <oddHeader>&amp;L&amp;"Times New Roman,Regular"&amp;12&amp;D&amp;C&amp;"Times New Roman,Bold"&amp;12Dubious Democracy 2003 State Data&amp;R&amp;"Times New Roman,Regular"&amp;12&amp;P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60"/>
  <sheetViews>
    <sheetView zoomScaleNormal="100" workbookViewId="0">
      <pane xSplit="1" ySplit="7" topLeftCell="B8" activePane="bottomRight" state="frozen"/>
      <selection pane="topRight" activeCell="B1" sqref="B1"/>
      <selection pane="bottomLeft" activeCell="A6" sqref="A6"/>
      <selection pane="bottomRight" activeCell="AL34" sqref="AL34"/>
    </sheetView>
  </sheetViews>
  <sheetFormatPr defaultRowHeight="15.75"/>
  <cols>
    <col min="1" max="1" width="16.42578125" style="7" bestFit="1" customWidth="1"/>
    <col min="2" max="2" width="11.85546875" style="7" bestFit="1" customWidth="1"/>
    <col min="3" max="3" width="7.28515625" style="7" bestFit="1" customWidth="1"/>
    <col min="4" max="4" width="10.28515625" style="7" bestFit="1" customWidth="1"/>
    <col min="5" max="5" width="7.28515625" style="7" bestFit="1" customWidth="1"/>
    <col min="6" max="6" width="9.5703125" style="7" bestFit="1" customWidth="1"/>
    <col min="7" max="7" width="11.5703125" style="7" bestFit="1" customWidth="1"/>
    <col min="8" max="8" width="5.7109375" style="7" customWidth="1"/>
    <col min="9" max="9" width="16.7109375" style="7" customWidth="1"/>
    <col min="10" max="10" width="11.85546875" style="7" bestFit="1" customWidth="1"/>
    <col min="11" max="11" width="6.5703125" style="7" bestFit="1" customWidth="1"/>
    <col min="12" max="12" width="10.28515625" style="7" bestFit="1" customWidth="1"/>
    <col min="13" max="13" width="7" style="7" bestFit="1" customWidth="1"/>
    <col min="14" max="14" width="9.5703125" style="7" bestFit="1" customWidth="1"/>
    <col min="15" max="15" width="9.140625" style="7" bestFit="1"/>
    <col min="16" max="16" width="5.7109375" style="7" customWidth="1"/>
    <col min="17" max="17" width="8.85546875" style="7" customWidth="1"/>
    <col min="18" max="18" width="16.42578125" style="7" bestFit="1" customWidth="1"/>
    <col min="19" max="19" width="16.5703125" style="7" bestFit="1" customWidth="1"/>
    <col min="20" max="20" width="5.7109375" style="102" customWidth="1"/>
    <col min="21" max="21" width="5.42578125" style="7" customWidth="1"/>
    <col min="22" max="22" width="16.140625" style="7" customWidth="1"/>
    <col min="23" max="23" width="7.7109375" style="7" bestFit="1" customWidth="1"/>
    <col min="24" max="24" width="5.7109375" style="7" customWidth="1"/>
    <col min="25" max="25" width="5.85546875" style="7" customWidth="1"/>
    <col min="26" max="26" width="16" style="7" customWidth="1"/>
    <col min="27" max="27" width="10.28515625" style="7" bestFit="1" customWidth="1"/>
    <col min="28" max="28" width="5.7109375" style="7" customWidth="1"/>
    <col min="29" max="29" width="6.7109375" style="7" customWidth="1"/>
    <col min="30" max="30" width="16.140625" style="7" customWidth="1"/>
    <col min="31" max="31" width="10.5703125" style="7" customWidth="1"/>
    <col min="32" max="32" width="5.7109375" style="7" customWidth="1"/>
    <col min="33" max="33" width="9.140625" style="7"/>
    <col min="34" max="34" width="16.140625" style="7" customWidth="1"/>
    <col min="35" max="35" width="9.5703125" style="7" bestFit="1" customWidth="1"/>
    <col min="36" max="36" width="5.7109375" style="7" customWidth="1"/>
    <col min="37" max="37" width="9.140625" style="7"/>
    <col min="38" max="38" width="16.42578125" style="7" customWidth="1"/>
    <col min="39" max="39" width="8.5703125" style="7" bestFit="1" customWidth="1"/>
    <col min="40" max="16384" width="9.140625" style="7"/>
  </cols>
  <sheetData>
    <row r="1" spans="1:39">
      <c r="A1" s="8" t="s">
        <v>209</v>
      </c>
      <c r="D1" s="75"/>
      <c r="H1" s="124"/>
      <c r="P1" s="124"/>
      <c r="T1" s="124"/>
      <c r="U1" s="124"/>
      <c r="V1" s="124"/>
      <c r="X1" s="124"/>
      <c r="AB1" s="124"/>
      <c r="AF1" s="124"/>
      <c r="AJ1" s="124"/>
    </row>
    <row r="2" spans="1:39">
      <c r="A2" s="7" t="s">
        <v>213</v>
      </c>
      <c r="D2" s="75"/>
      <c r="H2" s="124"/>
      <c r="P2" s="124"/>
      <c r="T2" s="124"/>
      <c r="U2" s="124"/>
      <c r="V2" s="124"/>
      <c r="X2" s="124"/>
      <c r="AB2" s="124"/>
      <c r="AF2" s="124"/>
      <c r="AJ2" s="124"/>
    </row>
    <row r="3" spans="1:39">
      <c r="D3" s="75"/>
      <c r="H3" s="124"/>
      <c r="P3" s="124"/>
      <c r="T3" s="124"/>
      <c r="U3" s="124"/>
      <c r="V3" s="124"/>
      <c r="X3" s="124"/>
      <c r="AB3" s="124"/>
      <c r="AF3" s="124"/>
      <c r="AJ3" s="124"/>
    </row>
    <row r="4" spans="1:39">
      <c r="A4" s="8" t="s">
        <v>215</v>
      </c>
      <c r="B4" s="8" t="s">
        <v>256</v>
      </c>
      <c r="C4" s="8"/>
      <c r="G4" s="98">
        <f ca="1">NOW()</f>
        <v>42073.425791666668</v>
      </c>
      <c r="H4" s="125"/>
      <c r="I4" s="8" t="s">
        <v>216</v>
      </c>
      <c r="L4" s="8"/>
      <c r="P4" s="124"/>
      <c r="Q4" s="8"/>
      <c r="T4" s="124"/>
      <c r="U4" s="125"/>
      <c r="V4" s="124"/>
      <c r="X4" s="124"/>
      <c r="Y4" s="8"/>
      <c r="AB4" s="124"/>
      <c r="AF4" s="124"/>
      <c r="AJ4" s="124"/>
    </row>
    <row r="5" spans="1:39" ht="16.5" thickBot="1">
      <c r="H5" s="124"/>
      <c r="P5" s="124"/>
      <c r="T5" s="124"/>
      <c r="X5" s="124"/>
      <c r="AB5" s="124"/>
      <c r="AF5" s="124"/>
      <c r="AJ5" s="124"/>
    </row>
    <row r="6" spans="1:39">
      <c r="A6" s="94"/>
      <c r="B6" s="46"/>
      <c r="C6" s="21"/>
      <c r="D6" s="46"/>
      <c r="E6" s="52"/>
      <c r="F6" s="46" t="s">
        <v>144</v>
      </c>
      <c r="G6" s="47" t="s">
        <v>139</v>
      </c>
      <c r="H6" s="59"/>
      <c r="I6" s="94"/>
      <c r="J6" s="46"/>
      <c r="K6" s="21"/>
      <c r="L6" s="46"/>
      <c r="M6" s="52"/>
      <c r="N6" s="46" t="s">
        <v>144</v>
      </c>
      <c r="O6" s="47" t="s">
        <v>139</v>
      </c>
      <c r="P6" s="89"/>
      <c r="Q6" s="20"/>
      <c r="R6" s="21"/>
      <c r="S6" s="47" t="s">
        <v>128</v>
      </c>
      <c r="T6" s="103"/>
      <c r="U6" s="21"/>
      <c r="V6" s="21"/>
      <c r="W6" s="22"/>
      <c r="X6" s="59"/>
      <c r="Y6" s="20"/>
      <c r="Z6" s="21"/>
      <c r="AA6" s="47" t="s">
        <v>60</v>
      </c>
      <c r="AB6" s="59"/>
      <c r="AC6" s="20"/>
      <c r="AD6" s="21"/>
      <c r="AE6" s="65" t="s">
        <v>197</v>
      </c>
      <c r="AF6" s="90"/>
      <c r="AG6" s="20"/>
      <c r="AH6" s="21"/>
      <c r="AI6" s="47" t="s">
        <v>144</v>
      </c>
      <c r="AJ6" s="92"/>
      <c r="AK6" s="20"/>
      <c r="AL6" s="21"/>
      <c r="AM6" s="47" t="s">
        <v>139</v>
      </c>
    </row>
    <row r="7" spans="1:39" ht="16.5" thickBot="1">
      <c r="A7" s="18" t="s">
        <v>51</v>
      </c>
      <c r="B7" s="28" t="s">
        <v>128</v>
      </c>
      <c r="C7" s="28" t="s">
        <v>126</v>
      </c>
      <c r="D7" s="28" t="s">
        <v>60</v>
      </c>
      <c r="E7" s="58" t="s">
        <v>210</v>
      </c>
      <c r="F7" s="28" t="s">
        <v>143</v>
      </c>
      <c r="G7" s="42" t="s">
        <v>212</v>
      </c>
      <c r="H7" s="59"/>
      <c r="I7" s="18" t="s">
        <v>51</v>
      </c>
      <c r="J7" s="28" t="s">
        <v>128</v>
      </c>
      <c r="K7" s="28" t="s">
        <v>126</v>
      </c>
      <c r="L7" s="28" t="s">
        <v>60</v>
      </c>
      <c r="M7" s="58" t="s">
        <v>210</v>
      </c>
      <c r="N7" s="28" t="s">
        <v>143</v>
      </c>
      <c r="O7" s="42" t="s">
        <v>212</v>
      </c>
      <c r="P7" s="89"/>
      <c r="Q7" s="18" t="s">
        <v>194</v>
      </c>
      <c r="R7" s="19" t="s">
        <v>51</v>
      </c>
      <c r="S7" s="42" t="s">
        <v>196</v>
      </c>
      <c r="T7" s="103"/>
      <c r="U7" s="19" t="s">
        <v>194</v>
      </c>
      <c r="V7" s="19" t="s">
        <v>51</v>
      </c>
      <c r="W7" s="42" t="s">
        <v>126</v>
      </c>
      <c r="X7" s="89"/>
      <c r="Y7" s="18" t="s">
        <v>194</v>
      </c>
      <c r="Z7" s="19" t="s">
        <v>51</v>
      </c>
      <c r="AA7" s="49" t="s">
        <v>196</v>
      </c>
      <c r="AB7" s="100"/>
      <c r="AC7" s="18" t="s">
        <v>194</v>
      </c>
      <c r="AD7" s="19" t="s">
        <v>51</v>
      </c>
      <c r="AE7" s="30" t="s">
        <v>196</v>
      </c>
      <c r="AF7" s="91"/>
      <c r="AG7" s="48" t="s">
        <v>194</v>
      </c>
      <c r="AH7" s="19" t="s">
        <v>51</v>
      </c>
      <c r="AI7" s="42" t="s">
        <v>143</v>
      </c>
      <c r="AJ7" s="91"/>
      <c r="AK7" s="18" t="s">
        <v>194</v>
      </c>
      <c r="AL7" s="19" t="s">
        <v>51</v>
      </c>
      <c r="AM7" s="42" t="s">
        <v>192</v>
      </c>
    </row>
    <row r="8" spans="1:39">
      <c r="A8" s="93" t="s">
        <v>64</v>
      </c>
      <c r="B8" s="66">
        <f t="shared" ref="B8:B39" si="0">S8</f>
        <v>36.200000000000003</v>
      </c>
      <c r="C8" s="64">
        <f>'Data By State'!N7</f>
        <v>0.56977762731917247</v>
      </c>
      <c r="D8" s="64">
        <f>AA8</f>
        <v>1</v>
      </c>
      <c r="E8" s="64">
        <f>AE8</f>
        <v>0.23369349300985409</v>
      </c>
      <c r="F8" s="64">
        <f>AI8</f>
        <v>0.1847051212239762</v>
      </c>
      <c r="G8" s="115">
        <f>'Data By State'!R7</f>
        <v>0.30134645167675683</v>
      </c>
      <c r="H8" s="97"/>
      <c r="I8" s="93" t="s">
        <v>64</v>
      </c>
      <c r="J8" s="25">
        <f>Q8</f>
        <v>46</v>
      </c>
      <c r="K8" s="105">
        <f>U8</f>
        <v>48</v>
      </c>
      <c r="L8" s="105">
        <f>Y8</f>
        <v>41</v>
      </c>
      <c r="M8" s="105">
        <f>AC8</f>
        <v>32</v>
      </c>
      <c r="N8" s="105">
        <f>AG8</f>
        <v>28</v>
      </c>
      <c r="O8" s="106">
        <f>AK8</f>
        <v>40</v>
      </c>
      <c r="P8" s="24"/>
      <c r="Q8" s="80">
        <f t="shared" ref="Q8:Q39" si="1">RANK(S8,S$8:S$57,1)</f>
        <v>46</v>
      </c>
      <c r="R8" s="81" t="s">
        <v>64</v>
      </c>
      <c r="S8" s="82">
        <f>'Data By State'!L7</f>
        <v>36.200000000000003</v>
      </c>
      <c r="T8" s="37"/>
      <c r="U8" s="57">
        <f t="shared" ref="U8:U57" si="2">RANK(W8,W$8:W$57,1)</f>
        <v>48</v>
      </c>
      <c r="V8" s="85" t="s">
        <v>64</v>
      </c>
      <c r="W8" s="87">
        <f>'Data By State'!N7</f>
        <v>0.56977762731917247</v>
      </c>
      <c r="X8" s="33"/>
      <c r="Y8" s="80">
        <f t="shared" ref="Y8:Y57" si="3">RANK(AA8,AA$8:AA$57,1)</f>
        <v>41</v>
      </c>
      <c r="Z8" s="81" t="s">
        <v>64</v>
      </c>
      <c r="AA8" s="56">
        <f>'Data By State'!O7</f>
        <v>1</v>
      </c>
      <c r="AB8" s="29"/>
      <c r="AC8" s="84">
        <f>RANK(AE8,AE$8:AE$57)</f>
        <v>32</v>
      </c>
      <c r="AD8" s="85" t="s">
        <v>64</v>
      </c>
      <c r="AE8" s="55">
        <f>'Data By State'!P7</f>
        <v>0.23369349300985409</v>
      </c>
      <c r="AF8" s="29"/>
      <c r="AG8" s="80">
        <f t="shared" ref="AG8:AG57" si="4">RANK(AI8,AI$8:AI$57,1)</f>
        <v>28</v>
      </c>
      <c r="AH8" s="85" t="s">
        <v>64</v>
      </c>
      <c r="AI8" s="56">
        <f>'Data By State'!Q7</f>
        <v>0.1847051212239762</v>
      </c>
      <c r="AJ8" s="29"/>
      <c r="AK8" s="80">
        <f>RANK(AM8,AM$8:AM$57)</f>
        <v>40</v>
      </c>
      <c r="AL8" s="81" t="s">
        <v>64</v>
      </c>
      <c r="AM8" s="56">
        <f>'Data By State'!R7</f>
        <v>0.30134645167675683</v>
      </c>
    </row>
    <row r="9" spans="1:39">
      <c r="A9" s="93" t="s">
        <v>65</v>
      </c>
      <c r="B9" s="66">
        <f t="shared" si="0"/>
        <v>15</v>
      </c>
      <c r="C9" s="64">
        <f>'Data By State'!N8</f>
        <v>9.9991062650817752E-2</v>
      </c>
      <c r="D9" s="64">
        <f>'Data By State'!O8</f>
        <v>0</v>
      </c>
      <c r="E9" s="64">
        <f>'Data By State'!P8</f>
        <v>0.27162413191963647</v>
      </c>
      <c r="F9" s="64">
        <f>'Data By State'!Q8</f>
        <v>0.4500044686745911</v>
      </c>
      <c r="G9" s="115">
        <f>'Data By State'!R8</f>
        <v>0.53294656721252132</v>
      </c>
      <c r="H9" s="97"/>
      <c r="I9" s="93" t="s">
        <v>65</v>
      </c>
      <c r="J9" s="25">
        <f t="shared" ref="J9:J57" si="5">Q9</f>
        <v>7</v>
      </c>
      <c r="K9" s="105">
        <f t="shared" ref="K9:K57" si="6">U9</f>
        <v>2</v>
      </c>
      <c r="L9" s="105">
        <f t="shared" ref="L9:L57" si="7">Y9</f>
        <v>1</v>
      </c>
      <c r="M9" s="105">
        <f t="shared" ref="M9:M57" si="8">AC9</f>
        <v>11</v>
      </c>
      <c r="N9" s="105">
        <f t="shared" ref="N9:N57" si="9">AG9</f>
        <v>50</v>
      </c>
      <c r="O9" s="107">
        <f t="shared" ref="O9:O57" si="10">AK9</f>
        <v>3</v>
      </c>
      <c r="P9" s="24"/>
      <c r="Q9" s="80">
        <f t="shared" si="1"/>
        <v>7</v>
      </c>
      <c r="R9" s="81" t="s">
        <v>65</v>
      </c>
      <c r="S9" s="82">
        <f>'Data By State'!L8</f>
        <v>15</v>
      </c>
      <c r="T9" s="37"/>
      <c r="U9" s="57">
        <f t="shared" si="2"/>
        <v>2</v>
      </c>
      <c r="V9" s="81" t="s">
        <v>65</v>
      </c>
      <c r="W9" s="87">
        <f>'Data By State'!N8</f>
        <v>9.9991062650817752E-2</v>
      </c>
      <c r="X9" s="33"/>
      <c r="Y9" s="80">
        <f t="shared" si="3"/>
        <v>1</v>
      </c>
      <c r="Z9" s="81" t="s">
        <v>65</v>
      </c>
      <c r="AA9" s="56">
        <f>'Data By State'!O8</f>
        <v>0</v>
      </c>
      <c r="AB9" s="29"/>
      <c r="AC9" s="80">
        <f t="shared" ref="AC9:AC57" si="11">RANK(AE9,AE$8:AE$57)</f>
        <v>11</v>
      </c>
      <c r="AD9" s="81" t="s">
        <v>65</v>
      </c>
      <c r="AE9" s="56">
        <f>'Data By State'!P8</f>
        <v>0.27162413191963647</v>
      </c>
      <c r="AF9" s="29"/>
      <c r="AG9" s="80">
        <f t="shared" si="4"/>
        <v>50</v>
      </c>
      <c r="AH9" s="81" t="s">
        <v>65</v>
      </c>
      <c r="AI9" s="56">
        <f>'Data By State'!Q8</f>
        <v>0.4500044686745911</v>
      </c>
      <c r="AJ9" s="29"/>
      <c r="AK9" s="80">
        <f t="shared" ref="AK9:AK57" si="12">RANK(AM9,AM$8:AM$57)</f>
        <v>3</v>
      </c>
      <c r="AL9" s="81" t="s">
        <v>65</v>
      </c>
      <c r="AM9" s="56">
        <f>'Data By State'!R8</f>
        <v>0.53294656721252132</v>
      </c>
    </row>
    <row r="10" spans="1:39">
      <c r="A10" s="93" t="s">
        <v>66</v>
      </c>
      <c r="B10" s="66">
        <f t="shared" si="0"/>
        <v>23.4</v>
      </c>
      <c r="C10" s="64">
        <f>'Data By State'!N9</f>
        <v>0.28261104868585185</v>
      </c>
      <c r="D10" s="64">
        <f>'Data By State'!O9</f>
        <v>0.55555555555555558</v>
      </c>
      <c r="E10" s="64">
        <f>'Data By State'!P9</f>
        <v>0.20275315967727084</v>
      </c>
      <c r="F10" s="64">
        <f>'Data By State'!Q9</f>
        <v>2.5946390134116593E-2</v>
      </c>
      <c r="G10" s="115">
        <f>'Data By State'!R9</f>
        <v>0.32561410281583736</v>
      </c>
      <c r="H10" s="97"/>
      <c r="I10" s="93" t="s">
        <v>66</v>
      </c>
      <c r="J10" s="25">
        <f t="shared" si="5"/>
        <v>18</v>
      </c>
      <c r="K10" s="105">
        <f t="shared" si="6"/>
        <v>22</v>
      </c>
      <c r="L10" s="105">
        <f t="shared" si="7"/>
        <v>15</v>
      </c>
      <c r="M10" s="105">
        <f t="shared" si="8"/>
        <v>38</v>
      </c>
      <c r="N10" s="105">
        <f t="shared" si="9"/>
        <v>4</v>
      </c>
      <c r="O10" s="107">
        <f t="shared" si="10"/>
        <v>36</v>
      </c>
      <c r="P10" s="24"/>
      <c r="Q10" s="80">
        <f t="shared" si="1"/>
        <v>18</v>
      </c>
      <c r="R10" s="81" t="s">
        <v>66</v>
      </c>
      <c r="S10" s="82">
        <f>'Data By State'!L9</f>
        <v>23.4</v>
      </c>
      <c r="T10" s="37"/>
      <c r="U10" s="57">
        <f t="shared" si="2"/>
        <v>22</v>
      </c>
      <c r="V10" s="81" t="s">
        <v>66</v>
      </c>
      <c r="W10" s="87">
        <f>'Data By State'!N9</f>
        <v>0.28261104868585185</v>
      </c>
      <c r="X10" s="33"/>
      <c r="Y10" s="80">
        <f t="shared" si="3"/>
        <v>15</v>
      </c>
      <c r="Z10" s="81" t="s">
        <v>66</v>
      </c>
      <c r="AA10" s="56">
        <f>'Data By State'!O9</f>
        <v>0.55555555555555558</v>
      </c>
      <c r="AB10" s="29"/>
      <c r="AC10" s="80">
        <f t="shared" si="11"/>
        <v>38</v>
      </c>
      <c r="AD10" s="81" t="s">
        <v>66</v>
      </c>
      <c r="AE10" s="56">
        <f>'Data By State'!P9</f>
        <v>0.20275315967727084</v>
      </c>
      <c r="AF10" s="29"/>
      <c r="AG10" s="80">
        <f t="shared" si="4"/>
        <v>4</v>
      </c>
      <c r="AH10" s="81" t="s">
        <v>66</v>
      </c>
      <c r="AI10" s="56">
        <f>'Data By State'!Q9</f>
        <v>2.5946390134116593E-2</v>
      </c>
      <c r="AJ10" s="29"/>
      <c r="AK10" s="80">
        <f t="shared" si="12"/>
        <v>36</v>
      </c>
      <c r="AL10" s="81" t="s">
        <v>66</v>
      </c>
      <c r="AM10" s="56">
        <f>'Data By State'!R9</f>
        <v>0.32561410281583736</v>
      </c>
    </row>
    <row r="11" spans="1:39">
      <c r="A11" s="93" t="s">
        <v>67</v>
      </c>
      <c r="B11" s="66">
        <f t="shared" si="0"/>
        <v>24.6</v>
      </c>
      <c r="C11" s="64">
        <f>'Data By State'!N10</f>
        <v>0.27284104149112326</v>
      </c>
      <c r="D11" s="64">
        <f>'Data By State'!O10</f>
        <v>0.5</v>
      </c>
      <c r="E11" s="64">
        <f>'Data By State'!P10</f>
        <v>0.23993711920656077</v>
      </c>
      <c r="F11" s="64">
        <f>'Data By State'!Q10</f>
        <v>0.34659219504678251</v>
      </c>
      <c r="G11" s="115">
        <f>'Data By State'!R10</f>
        <v>0.39107559772299588</v>
      </c>
      <c r="H11" s="97"/>
      <c r="I11" s="93" t="s">
        <v>67</v>
      </c>
      <c r="J11" s="25">
        <f t="shared" si="5"/>
        <v>25</v>
      </c>
      <c r="K11" s="105">
        <f t="shared" si="6"/>
        <v>18</v>
      </c>
      <c r="L11" s="105">
        <f t="shared" si="7"/>
        <v>9</v>
      </c>
      <c r="M11" s="105">
        <f t="shared" si="8"/>
        <v>28</v>
      </c>
      <c r="N11" s="105">
        <f t="shared" si="9"/>
        <v>40</v>
      </c>
      <c r="O11" s="107">
        <f t="shared" si="10"/>
        <v>23</v>
      </c>
      <c r="P11" s="24"/>
      <c r="Q11" s="80">
        <f t="shared" si="1"/>
        <v>25</v>
      </c>
      <c r="R11" s="81" t="s">
        <v>67</v>
      </c>
      <c r="S11" s="82">
        <f>'Data By State'!L10</f>
        <v>24.6</v>
      </c>
      <c r="T11" s="37"/>
      <c r="U11" s="57">
        <f t="shared" si="2"/>
        <v>18</v>
      </c>
      <c r="V11" s="81" t="s">
        <v>67</v>
      </c>
      <c r="W11" s="87">
        <f>'Data By State'!N10</f>
        <v>0.27284104149112326</v>
      </c>
      <c r="X11" s="33"/>
      <c r="Y11" s="80">
        <f t="shared" si="3"/>
        <v>9</v>
      </c>
      <c r="Z11" s="81" t="s">
        <v>67</v>
      </c>
      <c r="AA11" s="56">
        <f>'Data By State'!O10</f>
        <v>0.5</v>
      </c>
      <c r="AB11" s="29"/>
      <c r="AC11" s="80">
        <f t="shared" si="11"/>
        <v>28</v>
      </c>
      <c r="AD11" s="81" t="s">
        <v>67</v>
      </c>
      <c r="AE11" s="56">
        <f>'Data By State'!P10</f>
        <v>0.23993711920656077</v>
      </c>
      <c r="AF11" s="29"/>
      <c r="AG11" s="80">
        <f t="shared" si="4"/>
        <v>40</v>
      </c>
      <c r="AH11" s="81" t="s">
        <v>67</v>
      </c>
      <c r="AI11" s="56">
        <f>'Data By State'!Q10</f>
        <v>0.34659219504678251</v>
      </c>
      <c r="AJ11" s="29"/>
      <c r="AK11" s="80">
        <f t="shared" si="12"/>
        <v>23</v>
      </c>
      <c r="AL11" s="81" t="s">
        <v>67</v>
      </c>
      <c r="AM11" s="56">
        <f>'Data By State'!R10</f>
        <v>0.39107559772299588</v>
      </c>
    </row>
    <row r="12" spans="1:39">
      <c r="A12" s="112" t="s">
        <v>68</v>
      </c>
      <c r="B12" s="113">
        <f t="shared" si="0"/>
        <v>30</v>
      </c>
      <c r="C12" s="114">
        <f>'Data By State'!N11</f>
        <v>0.29383824542200115</v>
      </c>
      <c r="D12" s="114">
        <f>'Data By State'!O11</f>
        <v>0.60377358490566035</v>
      </c>
      <c r="E12" s="114">
        <f>'Data By State'!P11</f>
        <v>0.18906752630257345</v>
      </c>
      <c r="F12" s="114">
        <f>'Data By State'!Q11</f>
        <v>0.15754042106231142</v>
      </c>
      <c r="G12" s="115">
        <f>'Data By State'!R11</f>
        <v>0.29221449397892008</v>
      </c>
      <c r="H12" s="97"/>
      <c r="I12" s="112" t="s">
        <v>68</v>
      </c>
      <c r="J12" s="116">
        <f t="shared" si="5"/>
        <v>33</v>
      </c>
      <c r="K12" s="117">
        <f t="shared" si="6"/>
        <v>24</v>
      </c>
      <c r="L12" s="117">
        <f t="shared" si="7"/>
        <v>17</v>
      </c>
      <c r="M12" s="117">
        <f t="shared" si="8"/>
        <v>44</v>
      </c>
      <c r="N12" s="117">
        <f t="shared" si="9"/>
        <v>21</v>
      </c>
      <c r="O12" s="118">
        <f t="shared" si="10"/>
        <v>43</v>
      </c>
      <c r="P12" s="24"/>
      <c r="Q12" s="119">
        <f t="shared" si="1"/>
        <v>33</v>
      </c>
      <c r="R12" s="120" t="s">
        <v>68</v>
      </c>
      <c r="S12" s="121">
        <f>'Data By State'!L11</f>
        <v>30</v>
      </c>
      <c r="T12" s="37"/>
      <c r="U12" s="122">
        <f t="shared" si="2"/>
        <v>24</v>
      </c>
      <c r="V12" s="120" t="s">
        <v>68</v>
      </c>
      <c r="W12" s="123">
        <f>'Data By State'!N11</f>
        <v>0.29383824542200115</v>
      </c>
      <c r="X12" s="33"/>
      <c r="Y12" s="119">
        <f t="shared" si="3"/>
        <v>17</v>
      </c>
      <c r="Z12" s="120" t="s">
        <v>68</v>
      </c>
      <c r="AA12" s="115">
        <f>'Data By State'!O11</f>
        <v>0.60377358490566035</v>
      </c>
      <c r="AB12" s="29"/>
      <c r="AC12" s="119">
        <f t="shared" si="11"/>
        <v>44</v>
      </c>
      <c r="AD12" s="120" t="s">
        <v>68</v>
      </c>
      <c r="AE12" s="115">
        <f>'Data By State'!P11</f>
        <v>0.18906752630257345</v>
      </c>
      <c r="AF12" s="29"/>
      <c r="AG12" s="119">
        <f t="shared" si="4"/>
        <v>21</v>
      </c>
      <c r="AH12" s="120" t="s">
        <v>68</v>
      </c>
      <c r="AI12" s="115">
        <f>'Data By State'!Q11</f>
        <v>0.15754042106231142</v>
      </c>
      <c r="AJ12" s="29"/>
      <c r="AK12" s="119">
        <f t="shared" si="12"/>
        <v>43</v>
      </c>
      <c r="AL12" s="120" t="s">
        <v>68</v>
      </c>
      <c r="AM12" s="115">
        <f>'Data By State'!R11</f>
        <v>0.29221449397892008</v>
      </c>
    </row>
    <row r="13" spans="1:39">
      <c r="A13" s="93" t="s">
        <v>69</v>
      </c>
      <c r="B13" s="66">
        <f t="shared" si="0"/>
        <v>6</v>
      </c>
      <c r="C13" s="64">
        <f>'Data By State'!N12</f>
        <v>0.20958255643172691</v>
      </c>
      <c r="D13" s="64">
        <f>'Data By State'!O12</f>
        <v>0.42857142857142855</v>
      </c>
      <c r="E13" s="64">
        <f>'Data By State'!P12</f>
        <v>0.30811660147407949</v>
      </c>
      <c r="F13" s="64">
        <f>'Data By State'!Q12</f>
        <v>5.5487731987665517E-2</v>
      </c>
      <c r="G13" s="115">
        <f>'Data By State'!R12</f>
        <v>0.52380696779977576</v>
      </c>
      <c r="H13" s="97"/>
      <c r="I13" s="93" t="s">
        <v>69</v>
      </c>
      <c r="J13" s="25">
        <f t="shared" si="5"/>
        <v>1</v>
      </c>
      <c r="K13" s="105">
        <f t="shared" si="6"/>
        <v>10</v>
      </c>
      <c r="L13" s="105">
        <f t="shared" si="7"/>
        <v>8</v>
      </c>
      <c r="M13" s="105">
        <f t="shared" si="8"/>
        <v>3</v>
      </c>
      <c r="N13" s="105">
        <f t="shared" si="9"/>
        <v>6</v>
      </c>
      <c r="O13" s="107">
        <f t="shared" si="10"/>
        <v>4</v>
      </c>
      <c r="P13" s="24"/>
      <c r="Q13" s="80">
        <f t="shared" si="1"/>
        <v>1</v>
      </c>
      <c r="R13" s="81" t="s">
        <v>69</v>
      </c>
      <c r="S13" s="82">
        <f>'Data By State'!L12</f>
        <v>6</v>
      </c>
      <c r="T13" s="37"/>
      <c r="U13" s="57">
        <f t="shared" si="2"/>
        <v>10</v>
      </c>
      <c r="V13" s="81" t="s">
        <v>69</v>
      </c>
      <c r="W13" s="87">
        <f>'Data By State'!N12</f>
        <v>0.20958255643172691</v>
      </c>
      <c r="X13" s="33"/>
      <c r="Y13" s="80">
        <f t="shared" si="3"/>
        <v>8</v>
      </c>
      <c r="Z13" s="81" t="s">
        <v>69</v>
      </c>
      <c r="AA13" s="56">
        <f>'Data By State'!O12</f>
        <v>0.42857142857142855</v>
      </c>
      <c r="AB13" s="29"/>
      <c r="AC13" s="80">
        <f t="shared" si="11"/>
        <v>3</v>
      </c>
      <c r="AD13" s="81" t="s">
        <v>69</v>
      </c>
      <c r="AE13" s="56">
        <f>'Data By State'!P12</f>
        <v>0.30811660147407949</v>
      </c>
      <c r="AF13" s="29"/>
      <c r="AG13" s="80">
        <f t="shared" si="4"/>
        <v>6</v>
      </c>
      <c r="AH13" s="81" t="s">
        <v>69</v>
      </c>
      <c r="AI13" s="56">
        <f>'Data By State'!Q12</f>
        <v>5.5487731987665517E-2</v>
      </c>
      <c r="AJ13" s="29"/>
      <c r="AK13" s="80">
        <f t="shared" si="12"/>
        <v>4</v>
      </c>
      <c r="AL13" s="81" t="s">
        <v>69</v>
      </c>
      <c r="AM13" s="56">
        <f>'Data By State'!R12</f>
        <v>0.52380696779977576</v>
      </c>
    </row>
    <row r="14" spans="1:39">
      <c r="A14" s="93" t="s">
        <v>70</v>
      </c>
      <c r="B14" s="66">
        <f t="shared" si="0"/>
        <v>23.8</v>
      </c>
      <c r="C14" s="64">
        <f>'Data By State'!N13</f>
        <v>0.2045491715361368</v>
      </c>
      <c r="D14" s="64">
        <f>'Data By State'!O13</f>
        <v>0.6</v>
      </c>
      <c r="E14" s="64">
        <f>'Data By State'!P13</f>
        <v>0.24750910206649687</v>
      </c>
      <c r="F14" s="64">
        <f>'Data By State'!Q13</f>
        <v>0.39634261917898717</v>
      </c>
      <c r="G14" s="115">
        <f>'Data By State'!R13</f>
        <v>0.41338781513941503</v>
      </c>
      <c r="H14" s="97"/>
      <c r="I14" s="93" t="s">
        <v>70</v>
      </c>
      <c r="J14" s="25">
        <f t="shared" si="5"/>
        <v>20</v>
      </c>
      <c r="K14" s="105">
        <f t="shared" si="6"/>
        <v>9</v>
      </c>
      <c r="L14" s="105">
        <f t="shared" si="7"/>
        <v>16</v>
      </c>
      <c r="M14" s="105">
        <f t="shared" si="8"/>
        <v>24</v>
      </c>
      <c r="N14" s="105">
        <f t="shared" si="9"/>
        <v>46</v>
      </c>
      <c r="O14" s="107">
        <f t="shared" si="10"/>
        <v>16</v>
      </c>
      <c r="P14" s="24"/>
      <c r="Q14" s="80">
        <f t="shared" si="1"/>
        <v>20</v>
      </c>
      <c r="R14" s="81" t="s">
        <v>70</v>
      </c>
      <c r="S14" s="82">
        <f>'Data By State'!L13</f>
        <v>23.8</v>
      </c>
      <c r="T14" s="37"/>
      <c r="U14" s="57">
        <f t="shared" si="2"/>
        <v>9</v>
      </c>
      <c r="V14" s="81" t="s">
        <v>70</v>
      </c>
      <c r="W14" s="87">
        <f>'Data By State'!N13</f>
        <v>0.2045491715361368</v>
      </c>
      <c r="X14" s="33"/>
      <c r="Y14" s="80">
        <f t="shared" si="3"/>
        <v>16</v>
      </c>
      <c r="Z14" s="81" t="s">
        <v>70</v>
      </c>
      <c r="AA14" s="56">
        <f>'Data By State'!O13</f>
        <v>0.6</v>
      </c>
      <c r="AB14" s="29"/>
      <c r="AC14" s="80">
        <f t="shared" si="11"/>
        <v>24</v>
      </c>
      <c r="AD14" s="81" t="s">
        <v>70</v>
      </c>
      <c r="AE14" s="56">
        <f>'Data By State'!P13</f>
        <v>0.24750910206649687</v>
      </c>
      <c r="AF14" s="29"/>
      <c r="AG14" s="80">
        <f t="shared" si="4"/>
        <v>46</v>
      </c>
      <c r="AH14" s="81" t="s">
        <v>70</v>
      </c>
      <c r="AI14" s="56">
        <f>'Data By State'!Q13</f>
        <v>0.39634261917898717</v>
      </c>
      <c r="AJ14" s="29"/>
      <c r="AK14" s="80">
        <f t="shared" si="12"/>
        <v>16</v>
      </c>
      <c r="AL14" s="81" t="s">
        <v>70</v>
      </c>
      <c r="AM14" s="56">
        <f>'Data By State'!R13</f>
        <v>0.41338781513941503</v>
      </c>
    </row>
    <row r="15" spans="1:39">
      <c r="A15" s="93" t="s">
        <v>71</v>
      </c>
      <c r="B15" s="66">
        <f t="shared" si="0"/>
        <v>35.200000000000003</v>
      </c>
      <c r="C15" s="64">
        <f>'Data By State'!N14</f>
        <v>0.22496189830625557</v>
      </c>
      <c r="D15" s="64">
        <f>'Data By State'!O14</f>
        <v>1</v>
      </c>
      <c r="E15" s="64">
        <f>'Data By State'!P14</f>
        <v>0.20147645568431036</v>
      </c>
      <c r="F15" s="64">
        <f>'Data By State'!Q14</f>
        <v>0.38751905084687222</v>
      </c>
      <c r="G15" s="115">
        <f>'Data By State'!R14</f>
        <v>0.34000023487065967</v>
      </c>
      <c r="H15" s="97"/>
      <c r="I15" s="93" t="s">
        <v>71</v>
      </c>
      <c r="J15" s="25">
        <f t="shared" si="5"/>
        <v>43</v>
      </c>
      <c r="K15" s="105">
        <f t="shared" si="6"/>
        <v>13</v>
      </c>
      <c r="L15" s="105">
        <f t="shared" si="7"/>
        <v>41</v>
      </c>
      <c r="M15" s="105">
        <f t="shared" si="8"/>
        <v>39</v>
      </c>
      <c r="N15" s="105">
        <f t="shared" si="9"/>
        <v>44</v>
      </c>
      <c r="O15" s="107">
        <f t="shared" si="10"/>
        <v>35</v>
      </c>
      <c r="P15" s="24"/>
      <c r="Q15" s="80">
        <f t="shared" si="1"/>
        <v>43</v>
      </c>
      <c r="R15" s="81" t="s">
        <v>71</v>
      </c>
      <c r="S15" s="82">
        <f>'Data By State'!L14</f>
        <v>35.200000000000003</v>
      </c>
      <c r="T15" s="37"/>
      <c r="U15" s="57">
        <f t="shared" si="2"/>
        <v>13</v>
      </c>
      <c r="V15" s="81" t="s">
        <v>71</v>
      </c>
      <c r="W15" s="87">
        <f>'Data By State'!N14</f>
        <v>0.22496189830625557</v>
      </c>
      <c r="X15" s="33"/>
      <c r="Y15" s="80">
        <f t="shared" si="3"/>
        <v>41</v>
      </c>
      <c r="Z15" s="81" t="s">
        <v>71</v>
      </c>
      <c r="AA15" s="56">
        <f>'Data By State'!O14</f>
        <v>1</v>
      </c>
      <c r="AB15" s="29"/>
      <c r="AC15" s="80">
        <f t="shared" si="11"/>
        <v>39</v>
      </c>
      <c r="AD15" s="81" t="s">
        <v>71</v>
      </c>
      <c r="AE15" s="56">
        <f>'Data By State'!P14</f>
        <v>0.20147645568431036</v>
      </c>
      <c r="AF15" s="29"/>
      <c r="AG15" s="80">
        <f t="shared" si="4"/>
        <v>44</v>
      </c>
      <c r="AH15" s="81" t="s">
        <v>71</v>
      </c>
      <c r="AI15" s="56">
        <f>'Data By State'!Q14</f>
        <v>0.38751905084687222</v>
      </c>
      <c r="AJ15" s="29"/>
      <c r="AK15" s="80">
        <f t="shared" si="12"/>
        <v>35</v>
      </c>
      <c r="AL15" s="81" t="s">
        <v>71</v>
      </c>
      <c r="AM15" s="56">
        <f>'Data By State'!R14</f>
        <v>0.34000023487065967</v>
      </c>
    </row>
    <row r="16" spans="1:39">
      <c r="A16" s="93" t="s">
        <v>72</v>
      </c>
      <c r="B16" s="66">
        <f t="shared" si="0"/>
        <v>28.8</v>
      </c>
      <c r="C16" s="64">
        <f>'Data By State'!N15</f>
        <v>0.43870342661901462</v>
      </c>
      <c r="D16" s="64">
        <f>'Data By State'!O15</f>
        <v>0.81481481481481477</v>
      </c>
      <c r="E16" s="64">
        <f>'Data By State'!P15</f>
        <v>0.23553786194422494</v>
      </c>
      <c r="F16" s="64">
        <f>'Data By State'!Q15</f>
        <v>7.1330116049913267E-2</v>
      </c>
      <c r="G16" s="115">
        <f>'Data By State'!R15</f>
        <v>0.35881591905304422</v>
      </c>
      <c r="H16" s="97"/>
      <c r="I16" s="93" t="s">
        <v>72</v>
      </c>
      <c r="J16" s="25">
        <f t="shared" si="5"/>
        <v>31</v>
      </c>
      <c r="K16" s="105">
        <f t="shared" si="6"/>
        <v>41</v>
      </c>
      <c r="L16" s="105">
        <f t="shared" si="7"/>
        <v>34</v>
      </c>
      <c r="M16" s="105">
        <f t="shared" si="8"/>
        <v>30</v>
      </c>
      <c r="N16" s="105">
        <f t="shared" si="9"/>
        <v>9</v>
      </c>
      <c r="O16" s="107">
        <f t="shared" si="10"/>
        <v>28</v>
      </c>
      <c r="P16" s="24"/>
      <c r="Q16" s="80">
        <f t="shared" si="1"/>
        <v>31</v>
      </c>
      <c r="R16" s="81" t="s">
        <v>72</v>
      </c>
      <c r="S16" s="82">
        <f>'Data By State'!L15</f>
        <v>28.8</v>
      </c>
      <c r="T16" s="37"/>
      <c r="U16" s="57">
        <f t="shared" si="2"/>
        <v>41</v>
      </c>
      <c r="V16" s="81" t="s">
        <v>72</v>
      </c>
      <c r="W16" s="87">
        <f>'Data By State'!N15</f>
        <v>0.43870342661901462</v>
      </c>
      <c r="X16" s="33"/>
      <c r="Y16" s="80">
        <f t="shared" si="3"/>
        <v>34</v>
      </c>
      <c r="Z16" s="81" t="s">
        <v>72</v>
      </c>
      <c r="AA16" s="56">
        <f>'Data By State'!O15</f>
        <v>0.81481481481481477</v>
      </c>
      <c r="AB16" s="29"/>
      <c r="AC16" s="80">
        <f t="shared" si="11"/>
        <v>30</v>
      </c>
      <c r="AD16" s="81" t="s">
        <v>72</v>
      </c>
      <c r="AE16" s="56">
        <f>'Data By State'!P15</f>
        <v>0.23553786194422494</v>
      </c>
      <c r="AF16" s="29"/>
      <c r="AG16" s="80">
        <f t="shared" si="4"/>
        <v>9</v>
      </c>
      <c r="AH16" s="81" t="s">
        <v>72</v>
      </c>
      <c r="AI16" s="56">
        <f>'Data By State'!Q15</f>
        <v>7.1330116049913267E-2</v>
      </c>
      <c r="AJ16" s="29"/>
      <c r="AK16" s="80">
        <f t="shared" si="12"/>
        <v>28</v>
      </c>
      <c r="AL16" s="81" t="s">
        <v>72</v>
      </c>
      <c r="AM16" s="56">
        <f>'Data By State'!R15</f>
        <v>0.35881591905304422</v>
      </c>
    </row>
    <row r="17" spans="1:39">
      <c r="A17" s="112" t="s">
        <v>73</v>
      </c>
      <c r="B17" s="113">
        <f t="shared" si="0"/>
        <v>23.8</v>
      </c>
      <c r="C17" s="114">
        <f>'Data By State'!N16</f>
        <v>0.64777991131868518</v>
      </c>
      <c r="D17" s="114">
        <f>'Data By State'!O16</f>
        <v>0.8571428571428571</v>
      </c>
      <c r="E17" s="114">
        <f>'Data By State'!P16</f>
        <v>0.27743407119548269</v>
      </c>
      <c r="F17" s="114">
        <f>'Data By State'!Q16</f>
        <v>0.12911422619039872</v>
      </c>
      <c r="G17" s="115">
        <f>'Data By State'!R16</f>
        <v>0.34205692588133807</v>
      </c>
      <c r="H17" s="97"/>
      <c r="I17" s="112" t="s">
        <v>73</v>
      </c>
      <c r="J17" s="116">
        <f t="shared" si="5"/>
        <v>20</v>
      </c>
      <c r="K17" s="117">
        <f t="shared" si="6"/>
        <v>49</v>
      </c>
      <c r="L17" s="117">
        <f t="shared" si="7"/>
        <v>36</v>
      </c>
      <c r="M17" s="117">
        <f t="shared" si="8"/>
        <v>10</v>
      </c>
      <c r="N17" s="117">
        <f t="shared" si="9"/>
        <v>14</v>
      </c>
      <c r="O17" s="118">
        <f t="shared" si="10"/>
        <v>34</v>
      </c>
      <c r="P17" s="24"/>
      <c r="Q17" s="119">
        <f t="shared" si="1"/>
        <v>20</v>
      </c>
      <c r="R17" s="120" t="s">
        <v>73</v>
      </c>
      <c r="S17" s="121">
        <f>'Data By State'!L16</f>
        <v>23.8</v>
      </c>
      <c r="T17" s="37"/>
      <c r="U17" s="122">
        <f t="shared" si="2"/>
        <v>49</v>
      </c>
      <c r="V17" s="120" t="s">
        <v>73</v>
      </c>
      <c r="W17" s="123">
        <f>'Data By State'!N16</f>
        <v>0.64777991131868518</v>
      </c>
      <c r="X17" s="33"/>
      <c r="Y17" s="119">
        <f t="shared" si="3"/>
        <v>36</v>
      </c>
      <c r="Z17" s="120" t="s">
        <v>73</v>
      </c>
      <c r="AA17" s="115">
        <f>'Data By State'!O16</f>
        <v>0.8571428571428571</v>
      </c>
      <c r="AB17" s="29"/>
      <c r="AC17" s="119">
        <f t="shared" si="11"/>
        <v>10</v>
      </c>
      <c r="AD17" s="120" t="s">
        <v>73</v>
      </c>
      <c r="AE17" s="115">
        <f>'Data By State'!P16</f>
        <v>0.27743407119548269</v>
      </c>
      <c r="AF17" s="29"/>
      <c r="AG17" s="119">
        <f t="shared" si="4"/>
        <v>14</v>
      </c>
      <c r="AH17" s="120" t="s">
        <v>73</v>
      </c>
      <c r="AI17" s="115">
        <f>'Data By State'!Q16</f>
        <v>0.12911422619039872</v>
      </c>
      <c r="AJ17" s="29"/>
      <c r="AK17" s="119">
        <f t="shared" si="12"/>
        <v>34</v>
      </c>
      <c r="AL17" s="120" t="s">
        <v>73</v>
      </c>
      <c r="AM17" s="115">
        <f>'Data By State'!R16</f>
        <v>0.34205692588133807</v>
      </c>
    </row>
    <row r="18" spans="1:39">
      <c r="A18" s="93" t="s">
        <v>74</v>
      </c>
      <c r="B18" s="66">
        <f t="shared" si="0"/>
        <v>28.6</v>
      </c>
      <c r="C18" s="64">
        <f>'Data By State'!N17</f>
        <v>0.31978301016617028</v>
      </c>
      <c r="D18" s="64">
        <f>'Data By State'!O17</f>
        <v>0.5</v>
      </c>
      <c r="E18" s="64">
        <f>'Data By State'!P17</f>
        <v>0.23246283211621166</v>
      </c>
      <c r="F18" s="64">
        <f>'Data By State'!Q17</f>
        <v>0.33991759607082073</v>
      </c>
      <c r="G18" s="115">
        <f>'Data By State'!R17</f>
        <v>0.35568294597757338</v>
      </c>
      <c r="H18" s="97"/>
      <c r="I18" s="93" t="s">
        <v>74</v>
      </c>
      <c r="J18" s="25">
        <f t="shared" si="5"/>
        <v>30</v>
      </c>
      <c r="K18" s="105">
        <f t="shared" si="6"/>
        <v>29</v>
      </c>
      <c r="L18" s="105">
        <f t="shared" si="7"/>
        <v>9</v>
      </c>
      <c r="M18" s="105">
        <f t="shared" si="8"/>
        <v>33</v>
      </c>
      <c r="N18" s="105">
        <f t="shared" si="9"/>
        <v>39</v>
      </c>
      <c r="O18" s="107">
        <f t="shared" si="10"/>
        <v>31</v>
      </c>
      <c r="P18" s="24"/>
      <c r="Q18" s="80">
        <f t="shared" si="1"/>
        <v>30</v>
      </c>
      <c r="R18" s="81" t="s">
        <v>74</v>
      </c>
      <c r="S18" s="82">
        <f>'Data By State'!L17</f>
        <v>28.6</v>
      </c>
      <c r="T18" s="37"/>
      <c r="U18" s="57">
        <f t="shared" si="2"/>
        <v>29</v>
      </c>
      <c r="V18" s="81" t="s">
        <v>74</v>
      </c>
      <c r="W18" s="87">
        <f>'Data By State'!N17</f>
        <v>0.31978301016617028</v>
      </c>
      <c r="X18" s="33"/>
      <c r="Y18" s="80">
        <f t="shared" si="3"/>
        <v>9</v>
      </c>
      <c r="Z18" s="81" t="s">
        <v>74</v>
      </c>
      <c r="AA18" s="56">
        <f>'Data By State'!O17</f>
        <v>0.5</v>
      </c>
      <c r="AB18" s="29"/>
      <c r="AC18" s="80">
        <f t="shared" si="11"/>
        <v>33</v>
      </c>
      <c r="AD18" s="81" t="s">
        <v>74</v>
      </c>
      <c r="AE18" s="56">
        <f>'Data By State'!P17</f>
        <v>0.23246283211621166</v>
      </c>
      <c r="AF18" s="29"/>
      <c r="AG18" s="80">
        <f t="shared" si="4"/>
        <v>39</v>
      </c>
      <c r="AH18" s="81" t="s">
        <v>74</v>
      </c>
      <c r="AI18" s="56">
        <f>'Data By State'!Q17</f>
        <v>0.33991759607082073</v>
      </c>
      <c r="AJ18" s="29"/>
      <c r="AK18" s="80">
        <f t="shared" si="12"/>
        <v>31</v>
      </c>
      <c r="AL18" s="81" t="s">
        <v>74</v>
      </c>
      <c r="AM18" s="56">
        <f>'Data By State'!R17</f>
        <v>0.35568294597757338</v>
      </c>
    </row>
    <row r="19" spans="1:39">
      <c r="A19" s="93" t="s">
        <v>75</v>
      </c>
      <c r="B19" s="66">
        <f t="shared" si="0"/>
        <v>30.4</v>
      </c>
      <c r="C19" s="64">
        <f>'Data By State'!N18</f>
        <v>0.26370762668705849</v>
      </c>
      <c r="D19" s="64">
        <f>'Data By State'!O18</f>
        <v>1</v>
      </c>
      <c r="E19" s="64">
        <f>'Data By State'!P18</f>
        <v>0.24464305248843585</v>
      </c>
      <c r="F19" s="64">
        <f>'Data By State'!Q18</f>
        <v>0.36787067656041383</v>
      </c>
      <c r="G19" s="115">
        <f>'Data By State'!R18</f>
        <v>0.38701916876930509</v>
      </c>
      <c r="H19" s="97"/>
      <c r="I19" s="93" t="s">
        <v>75</v>
      </c>
      <c r="J19" s="25">
        <f t="shared" si="5"/>
        <v>34</v>
      </c>
      <c r="K19" s="105">
        <f t="shared" si="6"/>
        <v>16</v>
      </c>
      <c r="L19" s="105">
        <f t="shared" si="7"/>
        <v>41</v>
      </c>
      <c r="M19" s="105">
        <f t="shared" si="8"/>
        <v>26</v>
      </c>
      <c r="N19" s="105">
        <f t="shared" si="9"/>
        <v>43</v>
      </c>
      <c r="O19" s="107">
        <f t="shared" si="10"/>
        <v>24</v>
      </c>
      <c r="P19" s="24"/>
      <c r="Q19" s="80">
        <f t="shared" si="1"/>
        <v>34</v>
      </c>
      <c r="R19" s="81" t="s">
        <v>75</v>
      </c>
      <c r="S19" s="82">
        <f>'Data By State'!L18</f>
        <v>30.4</v>
      </c>
      <c r="T19" s="37"/>
      <c r="U19" s="57">
        <f t="shared" si="2"/>
        <v>16</v>
      </c>
      <c r="V19" s="81" t="s">
        <v>75</v>
      </c>
      <c r="W19" s="87">
        <f>'Data By State'!N18</f>
        <v>0.26370762668705849</v>
      </c>
      <c r="X19" s="33"/>
      <c r="Y19" s="80">
        <f t="shared" si="3"/>
        <v>41</v>
      </c>
      <c r="Z19" s="81" t="s">
        <v>75</v>
      </c>
      <c r="AA19" s="56">
        <f>'Data By State'!O18</f>
        <v>1</v>
      </c>
      <c r="AB19" s="29"/>
      <c r="AC19" s="80">
        <f t="shared" si="11"/>
        <v>26</v>
      </c>
      <c r="AD19" s="81" t="s">
        <v>75</v>
      </c>
      <c r="AE19" s="56">
        <f>'Data By State'!P18</f>
        <v>0.24464305248843585</v>
      </c>
      <c r="AF19" s="29"/>
      <c r="AG19" s="80">
        <f t="shared" si="4"/>
        <v>43</v>
      </c>
      <c r="AH19" s="81" t="s">
        <v>75</v>
      </c>
      <c r="AI19" s="56">
        <f>'Data By State'!Q18</f>
        <v>0.36787067656041383</v>
      </c>
      <c r="AJ19" s="29"/>
      <c r="AK19" s="80">
        <f t="shared" si="12"/>
        <v>24</v>
      </c>
      <c r="AL19" s="81" t="s">
        <v>75</v>
      </c>
      <c r="AM19" s="56">
        <f>'Data By State'!R18</f>
        <v>0.38701916876930509</v>
      </c>
    </row>
    <row r="20" spans="1:39">
      <c r="A20" s="93" t="s">
        <v>76</v>
      </c>
      <c r="B20" s="66">
        <f t="shared" si="0"/>
        <v>16.399999999999999</v>
      </c>
      <c r="C20" s="64">
        <f>'Data By State'!N19</f>
        <v>0.32722348461627243</v>
      </c>
      <c r="D20" s="64">
        <f>'Data By State'!O19</f>
        <v>0.66666666666666663</v>
      </c>
      <c r="E20" s="64">
        <f>'Data By State'!P19</f>
        <v>0.26244243048738303</v>
      </c>
      <c r="F20" s="64">
        <f>'Data By State'!Q19</f>
        <v>4.1414027607981574E-2</v>
      </c>
      <c r="G20" s="115">
        <f>'Data By State'!R19</f>
        <v>0.39699105869378221</v>
      </c>
      <c r="H20" s="97"/>
      <c r="I20" s="93" t="s">
        <v>76</v>
      </c>
      <c r="J20" s="25">
        <f t="shared" si="5"/>
        <v>9</v>
      </c>
      <c r="K20" s="105">
        <f t="shared" si="6"/>
        <v>30</v>
      </c>
      <c r="L20" s="105">
        <f t="shared" si="7"/>
        <v>19</v>
      </c>
      <c r="M20" s="105">
        <f t="shared" si="8"/>
        <v>14</v>
      </c>
      <c r="N20" s="105">
        <f t="shared" si="9"/>
        <v>5</v>
      </c>
      <c r="O20" s="107">
        <f t="shared" si="10"/>
        <v>21</v>
      </c>
      <c r="P20" s="24"/>
      <c r="Q20" s="80">
        <f t="shared" si="1"/>
        <v>9</v>
      </c>
      <c r="R20" s="81" t="s">
        <v>76</v>
      </c>
      <c r="S20" s="82">
        <f>'Data By State'!L19</f>
        <v>16.399999999999999</v>
      </c>
      <c r="T20" s="37"/>
      <c r="U20" s="57">
        <f t="shared" si="2"/>
        <v>30</v>
      </c>
      <c r="V20" s="81" t="s">
        <v>76</v>
      </c>
      <c r="W20" s="87">
        <f>'Data By State'!N19</f>
        <v>0.32722348461627243</v>
      </c>
      <c r="X20" s="33"/>
      <c r="Y20" s="80">
        <f t="shared" si="3"/>
        <v>19</v>
      </c>
      <c r="Z20" s="81" t="s">
        <v>76</v>
      </c>
      <c r="AA20" s="56">
        <f>'Data By State'!O19</f>
        <v>0.66666666666666663</v>
      </c>
      <c r="AB20" s="29"/>
      <c r="AC20" s="80">
        <f t="shared" si="11"/>
        <v>14</v>
      </c>
      <c r="AD20" s="81" t="s">
        <v>76</v>
      </c>
      <c r="AE20" s="56">
        <f>'Data By State'!P19</f>
        <v>0.26244243048738303</v>
      </c>
      <c r="AF20" s="29"/>
      <c r="AG20" s="80">
        <f t="shared" si="4"/>
        <v>5</v>
      </c>
      <c r="AH20" s="81" t="s">
        <v>76</v>
      </c>
      <c r="AI20" s="56">
        <f>'Data By State'!Q19</f>
        <v>4.1414027607981574E-2</v>
      </c>
      <c r="AJ20" s="29"/>
      <c r="AK20" s="80">
        <f t="shared" si="12"/>
        <v>21</v>
      </c>
      <c r="AL20" s="81" t="s">
        <v>76</v>
      </c>
      <c r="AM20" s="56">
        <f>'Data By State'!R19</f>
        <v>0.39699105869378221</v>
      </c>
    </row>
    <row r="21" spans="1:39">
      <c r="A21" s="93" t="s">
        <v>77</v>
      </c>
      <c r="B21" s="66">
        <f t="shared" si="0"/>
        <v>36.200000000000003</v>
      </c>
      <c r="C21" s="64">
        <f>'Data By State'!N20</f>
        <v>0.2837542894841602</v>
      </c>
      <c r="D21" s="64">
        <f>'Data By State'!O20</f>
        <v>0.88888888888888884</v>
      </c>
      <c r="E21" s="64">
        <f>'Data By State'!P20</f>
        <v>0.17409096342437258</v>
      </c>
      <c r="F21" s="64">
        <f>'Data By State'!Q20</f>
        <v>0.1709604394581597</v>
      </c>
      <c r="G21" s="115">
        <f>'Data By State'!R20</f>
        <v>0.27845813251961926</v>
      </c>
      <c r="H21" s="97"/>
      <c r="I21" s="93" t="s">
        <v>77</v>
      </c>
      <c r="J21" s="25">
        <f t="shared" si="5"/>
        <v>46</v>
      </c>
      <c r="K21" s="105">
        <f t="shared" si="6"/>
        <v>23</v>
      </c>
      <c r="L21" s="105">
        <f t="shared" si="7"/>
        <v>38</v>
      </c>
      <c r="M21" s="105">
        <f t="shared" si="8"/>
        <v>47</v>
      </c>
      <c r="N21" s="105">
        <f t="shared" si="9"/>
        <v>26</v>
      </c>
      <c r="O21" s="107">
        <f t="shared" si="10"/>
        <v>47</v>
      </c>
      <c r="P21" s="24"/>
      <c r="Q21" s="80">
        <f t="shared" si="1"/>
        <v>46</v>
      </c>
      <c r="R21" s="81" t="s">
        <v>77</v>
      </c>
      <c r="S21" s="82">
        <f>'Data By State'!L20</f>
        <v>36.200000000000003</v>
      </c>
      <c r="T21" s="37"/>
      <c r="U21" s="57">
        <f t="shared" si="2"/>
        <v>23</v>
      </c>
      <c r="V21" s="81" t="s">
        <v>77</v>
      </c>
      <c r="W21" s="87">
        <f>'Data By State'!N20</f>
        <v>0.2837542894841602</v>
      </c>
      <c r="X21" s="33"/>
      <c r="Y21" s="80">
        <f t="shared" si="3"/>
        <v>38</v>
      </c>
      <c r="Z21" s="81" t="s">
        <v>77</v>
      </c>
      <c r="AA21" s="56">
        <f>'Data By State'!O20</f>
        <v>0.88888888888888884</v>
      </c>
      <c r="AB21" s="29"/>
      <c r="AC21" s="80">
        <f t="shared" si="11"/>
        <v>47</v>
      </c>
      <c r="AD21" s="81" t="s">
        <v>77</v>
      </c>
      <c r="AE21" s="56">
        <f>'Data By State'!P20</f>
        <v>0.17409096342437258</v>
      </c>
      <c r="AF21" s="29"/>
      <c r="AG21" s="80">
        <f t="shared" si="4"/>
        <v>26</v>
      </c>
      <c r="AH21" s="81" t="s">
        <v>77</v>
      </c>
      <c r="AI21" s="56">
        <f>'Data By State'!Q20</f>
        <v>0.1709604394581597</v>
      </c>
      <c r="AJ21" s="29"/>
      <c r="AK21" s="80">
        <f t="shared" si="12"/>
        <v>47</v>
      </c>
      <c r="AL21" s="81" t="s">
        <v>77</v>
      </c>
      <c r="AM21" s="56">
        <f>'Data By State'!R20</f>
        <v>0.27845813251961926</v>
      </c>
    </row>
    <row r="22" spans="1:39">
      <c r="A22" s="112" t="s">
        <v>78</v>
      </c>
      <c r="B22" s="113">
        <f t="shared" si="0"/>
        <v>12.6</v>
      </c>
      <c r="C22" s="114">
        <f>'Data By State'!N21</f>
        <v>0.10317669437305683</v>
      </c>
      <c r="D22" s="114">
        <f>'Data By State'!O21</f>
        <v>0.25</v>
      </c>
      <c r="E22" s="114">
        <f>'Data By State'!P21</f>
        <v>0.268181628286906</v>
      </c>
      <c r="F22" s="114">
        <f>'Data By State'!Q21</f>
        <v>0.21131689299798095</v>
      </c>
      <c r="G22" s="115">
        <f>'Data By State'!R21</f>
        <v>0.49267431403461326</v>
      </c>
      <c r="H22" s="97"/>
      <c r="I22" s="112" t="s">
        <v>78</v>
      </c>
      <c r="J22" s="116">
        <f t="shared" si="5"/>
        <v>6</v>
      </c>
      <c r="K22" s="117">
        <f t="shared" si="6"/>
        <v>3</v>
      </c>
      <c r="L22" s="117">
        <f t="shared" si="7"/>
        <v>5</v>
      </c>
      <c r="M22" s="117">
        <f t="shared" si="8"/>
        <v>12</v>
      </c>
      <c r="N22" s="117">
        <f t="shared" si="9"/>
        <v>31</v>
      </c>
      <c r="O22" s="118">
        <f t="shared" si="10"/>
        <v>7</v>
      </c>
      <c r="P22" s="24"/>
      <c r="Q22" s="119">
        <f t="shared" si="1"/>
        <v>6</v>
      </c>
      <c r="R22" s="120" t="s">
        <v>78</v>
      </c>
      <c r="S22" s="121">
        <f>'Data By State'!L21</f>
        <v>12.6</v>
      </c>
      <c r="T22" s="37"/>
      <c r="U22" s="122">
        <f t="shared" si="2"/>
        <v>3</v>
      </c>
      <c r="V22" s="120" t="s">
        <v>78</v>
      </c>
      <c r="W22" s="123">
        <f>'Data By State'!N21</f>
        <v>0.10317669437305683</v>
      </c>
      <c r="X22" s="33"/>
      <c r="Y22" s="119">
        <f t="shared" si="3"/>
        <v>5</v>
      </c>
      <c r="Z22" s="120" t="s">
        <v>78</v>
      </c>
      <c r="AA22" s="115">
        <f>'Data By State'!O21</f>
        <v>0.25</v>
      </c>
      <c r="AB22" s="29"/>
      <c r="AC22" s="119">
        <f t="shared" si="11"/>
        <v>12</v>
      </c>
      <c r="AD22" s="120" t="s">
        <v>78</v>
      </c>
      <c r="AE22" s="115">
        <f>'Data By State'!P21</f>
        <v>0.268181628286906</v>
      </c>
      <c r="AF22" s="29"/>
      <c r="AG22" s="119">
        <f t="shared" si="4"/>
        <v>31</v>
      </c>
      <c r="AH22" s="120" t="s">
        <v>78</v>
      </c>
      <c r="AI22" s="115">
        <f>'Data By State'!Q21</f>
        <v>0.21131689299798095</v>
      </c>
      <c r="AJ22" s="29"/>
      <c r="AK22" s="119">
        <f t="shared" si="12"/>
        <v>7</v>
      </c>
      <c r="AL22" s="120" t="s">
        <v>78</v>
      </c>
      <c r="AM22" s="115">
        <f>'Data By State'!R21</f>
        <v>0.49267431403461326</v>
      </c>
    </row>
    <row r="23" spans="1:39">
      <c r="A23" s="93" t="s">
        <v>79</v>
      </c>
      <c r="B23" s="66">
        <f t="shared" si="0"/>
        <v>22.2</v>
      </c>
      <c r="C23" s="64">
        <f>'Data By State'!N22</f>
        <v>0.2692735624733843</v>
      </c>
      <c r="D23" s="64">
        <f>'Data By State'!O22</f>
        <v>0.75</v>
      </c>
      <c r="E23" s="64">
        <f>'Data By State'!P22</f>
        <v>0.2645807707324806</v>
      </c>
      <c r="F23" s="64">
        <f>'Data By State'!Q22</f>
        <v>0.36708145845896922</v>
      </c>
      <c r="G23" s="115">
        <f>'Data By State'!R22</f>
        <v>0.42189584024440485</v>
      </c>
      <c r="H23" s="97"/>
      <c r="I23" s="93" t="s">
        <v>79</v>
      </c>
      <c r="J23" s="25">
        <f t="shared" si="5"/>
        <v>15</v>
      </c>
      <c r="K23" s="105">
        <f t="shared" si="6"/>
        <v>17</v>
      </c>
      <c r="L23" s="105">
        <f t="shared" si="7"/>
        <v>26</v>
      </c>
      <c r="M23" s="105">
        <f t="shared" si="8"/>
        <v>13</v>
      </c>
      <c r="N23" s="105">
        <f t="shared" si="9"/>
        <v>42</v>
      </c>
      <c r="O23" s="107">
        <f t="shared" si="10"/>
        <v>13</v>
      </c>
      <c r="P23" s="24"/>
      <c r="Q23" s="80">
        <f t="shared" si="1"/>
        <v>15</v>
      </c>
      <c r="R23" s="81" t="s">
        <v>79</v>
      </c>
      <c r="S23" s="82">
        <f>'Data By State'!L22</f>
        <v>22.2</v>
      </c>
      <c r="T23" s="37"/>
      <c r="U23" s="57">
        <f t="shared" si="2"/>
        <v>17</v>
      </c>
      <c r="V23" s="81" t="s">
        <v>79</v>
      </c>
      <c r="W23" s="87">
        <f>'Data By State'!N22</f>
        <v>0.2692735624733843</v>
      </c>
      <c r="X23" s="33"/>
      <c r="Y23" s="80">
        <f t="shared" si="3"/>
        <v>26</v>
      </c>
      <c r="Z23" s="81" t="s">
        <v>79</v>
      </c>
      <c r="AA23" s="56">
        <f>'Data By State'!O22</f>
        <v>0.75</v>
      </c>
      <c r="AB23" s="29"/>
      <c r="AC23" s="80">
        <f t="shared" si="11"/>
        <v>13</v>
      </c>
      <c r="AD23" s="81" t="s">
        <v>79</v>
      </c>
      <c r="AE23" s="56">
        <f>'Data By State'!P22</f>
        <v>0.2645807707324806</v>
      </c>
      <c r="AF23" s="29"/>
      <c r="AG23" s="80">
        <f t="shared" si="4"/>
        <v>42</v>
      </c>
      <c r="AH23" s="81" t="s">
        <v>79</v>
      </c>
      <c r="AI23" s="56">
        <f>'Data By State'!Q22</f>
        <v>0.36708145845896922</v>
      </c>
      <c r="AJ23" s="29"/>
      <c r="AK23" s="80">
        <f t="shared" si="12"/>
        <v>13</v>
      </c>
      <c r="AL23" s="81" t="s">
        <v>79</v>
      </c>
      <c r="AM23" s="56">
        <f>'Data By State'!R22</f>
        <v>0.42189584024440485</v>
      </c>
    </row>
    <row r="24" spans="1:39">
      <c r="A24" s="93" t="s">
        <v>80</v>
      </c>
      <c r="B24" s="66">
        <f t="shared" si="0"/>
        <v>22.8</v>
      </c>
      <c r="C24" s="64">
        <f>'Data By State'!N23</f>
        <v>0.37416057455408475</v>
      </c>
      <c r="D24" s="64">
        <f>'Data By State'!O23</f>
        <v>0.83333333333333337</v>
      </c>
      <c r="E24" s="64">
        <f>'Data By State'!P23</f>
        <v>0.29326017919492625</v>
      </c>
      <c r="F24" s="64">
        <f>'Data By State'!Q23</f>
        <v>0.19774412706498978</v>
      </c>
      <c r="G24" s="115">
        <f>'Data By State'!R23</f>
        <v>0.42862825256578735</v>
      </c>
      <c r="H24" s="97"/>
      <c r="I24" s="93" t="s">
        <v>80</v>
      </c>
      <c r="J24" s="25">
        <f t="shared" si="5"/>
        <v>16</v>
      </c>
      <c r="K24" s="105">
        <f t="shared" si="6"/>
        <v>36</v>
      </c>
      <c r="L24" s="105">
        <f t="shared" si="7"/>
        <v>35</v>
      </c>
      <c r="M24" s="105">
        <f t="shared" si="8"/>
        <v>7</v>
      </c>
      <c r="N24" s="105">
        <f t="shared" si="9"/>
        <v>29</v>
      </c>
      <c r="O24" s="107">
        <f t="shared" si="10"/>
        <v>12</v>
      </c>
      <c r="P24" s="24"/>
      <c r="Q24" s="80">
        <f t="shared" si="1"/>
        <v>16</v>
      </c>
      <c r="R24" s="81" t="s">
        <v>80</v>
      </c>
      <c r="S24" s="82">
        <f>'Data By State'!L23</f>
        <v>22.8</v>
      </c>
      <c r="T24" s="37"/>
      <c r="U24" s="57">
        <f t="shared" si="2"/>
        <v>36</v>
      </c>
      <c r="V24" s="81" t="s">
        <v>80</v>
      </c>
      <c r="W24" s="87">
        <f>'Data By State'!N23</f>
        <v>0.37416057455408475</v>
      </c>
      <c r="X24" s="33"/>
      <c r="Y24" s="80">
        <f t="shared" si="3"/>
        <v>35</v>
      </c>
      <c r="Z24" s="81" t="s">
        <v>80</v>
      </c>
      <c r="AA24" s="56">
        <f>'Data By State'!O23</f>
        <v>0.83333333333333337</v>
      </c>
      <c r="AB24" s="29"/>
      <c r="AC24" s="80">
        <f t="shared" si="11"/>
        <v>7</v>
      </c>
      <c r="AD24" s="81" t="s">
        <v>80</v>
      </c>
      <c r="AE24" s="56">
        <f>'Data By State'!P23</f>
        <v>0.29326017919492625</v>
      </c>
      <c r="AF24" s="29"/>
      <c r="AG24" s="80">
        <f t="shared" si="4"/>
        <v>29</v>
      </c>
      <c r="AH24" s="81" t="s">
        <v>80</v>
      </c>
      <c r="AI24" s="56">
        <f>'Data By State'!Q23</f>
        <v>0.19774412706498978</v>
      </c>
      <c r="AJ24" s="29"/>
      <c r="AK24" s="80">
        <f t="shared" si="12"/>
        <v>12</v>
      </c>
      <c r="AL24" s="81" t="s">
        <v>80</v>
      </c>
      <c r="AM24" s="56">
        <f>'Data By State'!R23</f>
        <v>0.42862825256578735</v>
      </c>
    </row>
    <row r="25" spans="1:39">
      <c r="A25" s="93" t="s">
        <v>81</v>
      </c>
      <c r="B25" s="66">
        <f t="shared" si="0"/>
        <v>23.8</v>
      </c>
      <c r="C25" s="64">
        <f>'Data By State'!N24</f>
        <v>0.49232429195759436</v>
      </c>
      <c r="D25" s="64">
        <f>'Data By State'!O24</f>
        <v>1</v>
      </c>
      <c r="E25" s="64">
        <f>'Data By State'!P24</f>
        <v>0.30198721145190471</v>
      </c>
      <c r="F25" s="64">
        <f>'Data By State'!Q24</f>
        <v>0.15902727511872622</v>
      </c>
      <c r="G25" s="115">
        <f>'Data By State'!R24</f>
        <v>0.41935160047493852</v>
      </c>
      <c r="H25" s="97"/>
      <c r="I25" s="93" t="s">
        <v>81</v>
      </c>
      <c r="J25" s="25">
        <f t="shared" si="5"/>
        <v>20</v>
      </c>
      <c r="K25" s="105">
        <f t="shared" si="6"/>
        <v>46</v>
      </c>
      <c r="L25" s="105">
        <f t="shared" si="7"/>
        <v>41</v>
      </c>
      <c r="M25" s="105">
        <f t="shared" si="8"/>
        <v>5</v>
      </c>
      <c r="N25" s="105">
        <f t="shared" si="9"/>
        <v>22</v>
      </c>
      <c r="O25" s="107">
        <f t="shared" si="10"/>
        <v>14</v>
      </c>
      <c r="P25" s="24"/>
      <c r="Q25" s="80">
        <f t="shared" si="1"/>
        <v>20</v>
      </c>
      <c r="R25" s="81" t="s">
        <v>81</v>
      </c>
      <c r="S25" s="82">
        <f>'Data By State'!L24</f>
        <v>23.8</v>
      </c>
      <c r="T25" s="37"/>
      <c r="U25" s="57">
        <f t="shared" si="2"/>
        <v>46</v>
      </c>
      <c r="V25" s="81" t="s">
        <v>81</v>
      </c>
      <c r="W25" s="87">
        <f>'Data By State'!N24</f>
        <v>0.49232429195759436</v>
      </c>
      <c r="X25" s="33"/>
      <c r="Y25" s="80">
        <f t="shared" si="3"/>
        <v>41</v>
      </c>
      <c r="Z25" s="81" t="s">
        <v>81</v>
      </c>
      <c r="AA25" s="56">
        <f>'Data By State'!O24</f>
        <v>1</v>
      </c>
      <c r="AB25" s="29"/>
      <c r="AC25" s="80">
        <f t="shared" si="11"/>
        <v>5</v>
      </c>
      <c r="AD25" s="81" t="s">
        <v>81</v>
      </c>
      <c r="AE25" s="56">
        <f>'Data By State'!P24</f>
        <v>0.30198721145190471</v>
      </c>
      <c r="AF25" s="29"/>
      <c r="AG25" s="80">
        <f t="shared" si="4"/>
        <v>22</v>
      </c>
      <c r="AH25" s="81" t="s">
        <v>81</v>
      </c>
      <c r="AI25" s="56">
        <f>'Data By State'!Q24</f>
        <v>0.15902727511872622</v>
      </c>
      <c r="AJ25" s="29"/>
      <c r="AK25" s="80">
        <f t="shared" si="12"/>
        <v>14</v>
      </c>
      <c r="AL25" s="81" t="s">
        <v>81</v>
      </c>
      <c r="AM25" s="56">
        <f>'Data By State'!R24</f>
        <v>0.41935160047493852</v>
      </c>
    </row>
    <row r="26" spans="1:39">
      <c r="A26" s="93" t="s">
        <v>82</v>
      </c>
      <c r="B26" s="66">
        <f t="shared" si="0"/>
        <v>6.4</v>
      </c>
      <c r="C26" s="64">
        <f>'Data By State'!N25</f>
        <v>0.17481194898817015</v>
      </c>
      <c r="D26" s="64">
        <f>'Data By State'!O25</f>
        <v>0.5</v>
      </c>
      <c r="E26" s="64">
        <f>'Data By State'!P25</f>
        <v>0.30350401960672729</v>
      </c>
      <c r="F26" s="64">
        <f>'Data By State'!Q25</f>
        <v>6.5137388562235499E-2</v>
      </c>
      <c r="G26" s="115">
        <f>'Data By State'!R25</f>
        <v>0.56184484583603644</v>
      </c>
      <c r="H26" s="97"/>
      <c r="I26" s="93" t="s">
        <v>82</v>
      </c>
      <c r="J26" s="25">
        <f t="shared" si="5"/>
        <v>2</v>
      </c>
      <c r="K26" s="105">
        <f t="shared" si="6"/>
        <v>7</v>
      </c>
      <c r="L26" s="105">
        <f t="shared" si="7"/>
        <v>9</v>
      </c>
      <c r="M26" s="105">
        <f t="shared" si="8"/>
        <v>4</v>
      </c>
      <c r="N26" s="105">
        <f t="shared" si="9"/>
        <v>8</v>
      </c>
      <c r="O26" s="107">
        <f t="shared" si="10"/>
        <v>1</v>
      </c>
      <c r="P26" s="24"/>
      <c r="Q26" s="80">
        <f t="shared" si="1"/>
        <v>2</v>
      </c>
      <c r="R26" s="81" t="s">
        <v>82</v>
      </c>
      <c r="S26" s="82">
        <f>'Data By State'!L25</f>
        <v>6.4</v>
      </c>
      <c r="T26" s="37"/>
      <c r="U26" s="57">
        <f t="shared" si="2"/>
        <v>7</v>
      </c>
      <c r="V26" s="81" t="s">
        <v>82</v>
      </c>
      <c r="W26" s="87">
        <f>'Data By State'!N25</f>
        <v>0.17481194898817015</v>
      </c>
      <c r="X26" s="33"/>
      <c r="Y26" s="80">
        <f t="shared" si="3"/>
        <v>9</v>
      </c>
      <c r="Z26" s="81" t="s">
        <v>82</v>
      </c>
      <c r="AA26" s="56">
        <f>'Data By State'!O25</f>
        <v>0.5</v>
      </c>
      <c r="AB26" s="29"/>
      <c r="AC26" s="80">
        <f t="shared" si="11"/>
        <v>4</v>
      </c>
      <c r="AD26" s="81" t="s">
        <v>82</v>
      </c>
      <c r="AE26" s="56">
        <f>'Data By State'!P25</f>
        <v>0.30350401960672729</v>
      </c>
      <c r="AF26" s="29"/>
      <c r="AG26" s="80">
        <f t="shared" si="4"/>
        <v>8</v>
      </c>
      <c r="AH26" s="81" t="s">
        <v>82</v>
      </c>
      <c r="AI26" s="56">
        <f>'Data By State'!Q25</f>
        <v>6.5137388562235499E-2</v>
      </c>
      <c r="AJ26" s="29"/>
      <c r="AK26" s="80">
        <f t="shared" si="12"/>
        <v>1</v>
      </c>
      <c r="AL26" s="81" t="s">
        <v>82</v>
      </c>
      <c r="AM26" s="56">
        <f>'Data By State'!R25</f>
        <v>0.56184484583603644</v>
      </c>
    </row>
    <row r="27" spans="1:39">
      <c r="A27" s="112" t="s">
        <v>83</v>
      </c>
      <c r="B27" s="113">
        <f t="shared" si="0"/>
        <v>23.6</v>
      </c>
      <c r="C27" s="114">
        <f>'Data By State'!N26</f>
        <v>0.27744141748167805</v>
      </c>
      <c r="D27" s="114">
        <f>'Data By State'!O26</f>
        <v>0.75</v>
      </c>
      <c r="E27" s="114">
        <f>'Data By State'!P26</f>
        <v>0.25889940813944212</v>
      </c>
      <c r="F27" s="114">
        <f>'Data By State'!Q26</f>
        <v>0.29459452437028677</v>
      </c>
      <c r="G27" s="115">
        <f>'Data By State'!R26</f>
        <v>0.40796552754210541</v>
      </c>
      <c r="H27" s="97"/>
      <c r="I27" s="112" t="s">
        <v>83</v>
      </c>
      <c r="J27" s="116">
        <f t="shared" si="5"/>
        <v>19</v>
      </c>
      <c r="K27" s="117">
        <f t="shared" si="6"/>
        <v>20</v>
      </c>
      <c r="L27" s="117">
        <f t="shared" si="7"/>
        <v>26</v>
      </c>
      <c r="M27" s="117">
        <f t="shared" si="8"/>
        <v>18</v>
      </c>
      <c r="N27" s="117">
        <f t="shared" si="9"/>
        <v>36</v>
      </c>
      <c r="O27" s="118">
        <f t="shared" si="10"/>
        <v>18</v>
      </c>
      <c r="P27" s="24"/>
      <c r="Q27" s="119">
        <f t="shared" si="1"/>
        <v>19</v>
      </c>
      <c r="R27" s="120" t="s">
        <v>83</v>
      </c>
      <c r="S27" s="121">
        <f>'Data By State'!L26</f>
        <v>23.6</v>
      </c>
      <c r="T27" s="37"/>
      <c r="U27" s="122">
        <f t="shared" si="2"/>
        <v>20</v>
      </c>
      <c r="V27" s="120" t="s">
        <v>83</v>
      </c>
      <c r="W27" s="123">
        <f>'Data By State'!N26</f>
        <v>0.27744141748167805</v>
      </c>
      <c r="X27" s="33"/>
      <c r="Y27" s="119">
        <f t="shared" si="3"/>
        <v>26</v>
      </c>
      <c r="Z27" s="120" t="s">
        <v>83</v>
      </c>
      <c r="AA27" s="115">
        <f>'Data By State'!O26</f>
        <v>0.75</v>
      </c>
      <c r="AB27" s="29"/>
      <c r="AC27" s="119">
        <f t="shared" si="11"/>
        <v>18</v>
      </c>
      <c r="AD27" s="120" t="s">
        <v>83</v>
      </c>
      <c r="AE27" s="115">
        <f>'Data By State'!P26</f>
        <v>0.25889940813944212</v>
      </c>
      <c r="AF27" s="29"/>
      <c r="AG27" s="119">
        <f t="shared" si="4"/>
        <v>36</v>
      </c>
      <c r="AH27" s="120" t="s">
        <v>83</v>
      </c>
      <c r="AI27" s="115">
        <f>'Data By State'!Q26</f>
        <v>0.29459452437028677</v>
      </c>
      <c r="AJ27" s="29"/>
      <c r="AK27" s="119">
        <f t="shared" si="12"/>
        <v>18</v>
      </c>
      <c r="AL27" s="120" t="s">
        <v>83</v>
      </c>
      <c r="AM27" s="115">
        <f>'Data By State'!R26</f>
        <v>0.40796552754210541</v>
      </c>
    </row>
    <row r="28" spans="1:39">
      <c r="A28" s="93" t="s">
        <v>84</v>
      </c>
      <c r="B28" s="66">
        <f t="shared" si="0"/>
        <v>24</v>
      </c>
      <c r="C28" s="64">
        <f>'Data By State'!N27</f>
        <v>0.6983447447380845</v>
      </c>
      <c r="D28" s="64">
        <f>'Data By State'!O27</f>
        <v>0.77777777777777779</v>
      </c>
      <c r="E28" s="64">
        <f>'Data By State'!P27</f>
        <v>0.30110016591261118</v>
      </c>
      <c r="F28" s="64">
        <f>'Data By State'!Q27</f>
        <v>0.17834554331861663</v>
      </c>
      <c r="G28" s="115">
        <f>'Data By State'!R27</f>
        <v>0.37015368854549946</v>
      </c>
      <c r="H28" s="97"/>
      <c r="I28" s="93" t="s">
        <v>84</v>
      </c>
      <c r="J28" s="25">
        <f t="shared" si="5"/>
        <v>23</v>
      </c>
      <c r="K28" s="105">
        <f t="shared" si="6"/>
        <v>50</v>
      </c>
      <c r="L28" s="105">
        <f t="shared" si="7"/>
        <v>31</v>
      </c>
      <c r="M28" s="105">
        <f t="shared" si="8"/>
        <v>6</v>
      </c>
      <c r="N28" s="105">
        <f t="shared" si="9"/>
        <v>27</v>
      </c>
      <c r="O28" s="107">
        <f t="shared" si="10"/>
        <v>27</v>
      </c>
      <c r="P28" s="24"/>
      <c r="Q28" s="80">
        <f t="shared" si="1"/>
        <v>23</v>
      </c>
      <c r="R28" s="81" t="s">
        <v>84</v>
      </c>
      <c r="S28" s="82">
        <f>'Data By State'!L27</f>
        <v>24</v>
      </c>
      <c r="T28" s="37"/>
      <c r="U28" s="57">
        <f t="shared" si="2"/>
        <v>50</v>
      </c>
      <c r="V28" s="81" t="s">
        <v>84</v>
      </c>
      <c r="W28" s="87">
        <f>'Data By State'!N27</f>
        <v>0.6983447447380845</v>
      </c>
      <c r="X28" s="33"/>
      <c r="Y28" s="80">
        <f t="shared" si="3"/>
        <v>31</v>
      </c>
      <c r="Z28" s="81" t="s">
        <v>84</v>
      </c>
      <c r="AA28" s="56">
        <f>'Data By State'!O27</f>
        <v>0.77777777777777779</v>
      </c>
      <c r="AB28" s="29"/>
      <c r="AC28" s="80">
        <f t="shared" si="11"/>
        <v>6</v>
      </c>
      <c r="AD28" s="81" t="s">
        <v>84</v>
      </c>
      <c r="AE28" s="56">
        <f>'Data By State'!P27</f>
        <v>0.30110016591261118</v>
      </c>
      <c r="AF28" s="29"/>
      <c r="AG28" s="80">
        <f t="shared" si="4"/>
        <v>27</v>
      </c>
      <c r="AH28" s="81" t="s">
        <v>84</v>
      </c>
      <c r="AI28" s="56">
        <f>'Data By State'!Q27</f>
        <v>0.17834554331861663</v>
      </c>
      <c r="AJ28" s="29"/>
      <c r="AK28" s="80">
        <f t="shared" si="12"/>
        <v>27</v>
      </c>
      <c r="AL28" s="81" t="s">
        <v>84</v>
      </c>
      <c r="AM28" s="56">
        <f>'Data By State'!R27</f>
        <v>0.37015368854549946</v>
      </c>
    </row>
    <row r="29" spans="1:39">
      <c r="A29" s="93" t="s">
        <v>85</v>
      </c>
      <c r="B29" s="66">
        <f t="shared" si="0"/>
        <v>17.600000000000001</v>
      </c>
      <c r="C29" s="64">
        <f>'Data By State'!N28</f>
        <v>0.27388465631154196</v>
      </c>
      <c r="D29" s="64">
        <f>'Data By State'!O28</f>
        <v>0.5</v>
      </c>
      <c r="E29" s="64">
        <f>'Data By State'!P28</f>
        <v>0.25701213269708612</v>
      </c>
      <c r="F29" s="64">
        <f>'Data By State'!Q28</f>
        <v>0.15131828369101216</v>
      </c>
      <c r="G29" s="115">
        <f>'Data By State'!R28</f>
        <v>0.41809742669572281</v>
      </c>
      <c r="H29" s="97"/>
      <c r="I29" s="93" t="s">
        <v>85</v>
      </c>
      <c r="J29" s="25">
        <f t="shared" si="5"/>
        <v>11</v>
      </c>
      <c r="K29" s="105">
        <f t="shared" si="6"/>
        <v>19</v>
      </c>
      <c r="L29" s="105">
        <f t="shared" si="7"/>
        <v>9</v>
      </c>
      <c r="M29" s="105">
        <f t="shared" si="8"/>
        <v>21</v>
      </c>
      <c r="N29" s="105">
        <f t="shared" si="9"/>
        <v>18</v>
      </c>
      <c r="O29" s="107">
        <f t="shared" si="10"/>
        <v>15</v>
      </c>
      <c r="P29" s="24"/>
      <c r="Q29" s="80">
        <f t="shared" si="1"/>
        <v>11</v>
      </c>
      <c r="R29" s="81" t="s">
        <v>85</v>
      </c>
      <c r="S29" s="82">
        <f>'Data By State'!L28</f>
        <v>17.600000000000001</v>
      </c>
      <c r="T29" s="37"/>
      <c r="U29" s="57">
        <f t="shared" si="2"/>
        <v>19</v>
      </c>
      <c r="V29" s="81" t="s">
        <v>85</v>
      </c>
      <c r="W29" s="87">
        <f>'Data By State'!N28</f>
        <v>0.27388465631154196</v>
      </c>
      <c r="X29" s="33"/>
      <c r="Y29" s="80">
        <f t="shared" si="3"/>
        <v>9</v>
      </c>
      <c r="Z29" s="81" t="s">
        <v>85</v>
      </c>
      <c r="AA29" s="56">
        <f>'Data By State'!O28</f>
        <v>0.5</v>
      </c>
      <c r="AB29" s="29"/>
      <c r="AC29" s="80">
        <f t="shared" si="11"/>
        <v>21</v>
      </c>
      <c r="AD29" s="81" t="s">
        <v>85</v>
      </c>
      <c r="AE29" s="56">
        <f>'Data By State'!P28</f>
        <v>0.25701213269708612</v>
      </c>
      <c r="AF29" s="29"/>
      <c r="AG29" s="80">
        <f t="shared" si="4"/>
        <v>18</v>
      </c>
      <c r="AH29" s="81" t="s">
        <v>85</v>
      </c>
      <c r="AI29" s="56">
        <f>'Data By State'!Q28</f>
        <v>0.15131828369101216</v>
      </c>
      <c r="AJ29" s="29"/>
      <c r="AK29" s="80">
        <f t="shared" si="12"/>
        <v>15</v>
      </c>
      <c r="AL29" s="81" t="s">
        <v>85</v>
      </c>
      <c r="AM29" s="56">
        <f>'Data By State'!R28</f>
        <v>0.41809742669572281</v>
      </c>
    </row>
    <row r="30" spans="1:39">
      <c r="A30" s="93" t="s">
        <v>86</v>
      </c>
      <c r="B30" s="66">
        <f t="shared" si="0"/>
        <v>9.1999999999999993</v>
      </c>
      <c r="C30" s="64">
        <f>'Data By State'!N29</f>
        <v>0.19127328817856959</v>
      </c>
      <c r="D30" s="64">
        <f>'Data By State'!O29</f>
        <v>0.375</v>
      </c>
      <c r="E30" s="64">
        <f>'Data By State'!P29</f>
        <v>0.28796066852955132</v>
      </c>
      <c r="F30" s="64">
        <f>'Data By State'!Q29</f>
        <v>0.10660947228930634</v>
      </c>
      <c r="G30" s="115">
        <f>'Data By State'!R29</f>
        <v>0.4977111055233584</v>
      </c>
      <c r="H30" s="97"/>
      <c r="I30" s="93" t="s">
        <v>86</v>
      </c>
      <c r="J30" s="25">
        <f t="shared" si="5"/>
        <v>3</v>
      </c>
      <c r="K30" s="105">
        <f t="shared" si="6"/>
        <v>8</v>
      </c>
      <c r="L30" s="105">
        <f t="shared" si="7"/>
        <v>7</v>
      </c>
      <c r="M30" s="105">
        <f t="shared" si="8"/>
        <v>9</v>
      </c>
      <c r="N30" s="105">
        <f t="shared" si="9"/>
        <v>13</v>
      </c>
      <c r="O30" s="107">
        <f t="shared" si="10"/>
        <v>6</v>
      </c>
      <c r="P30" s="24"/>
      <c r="Q30" s="80">
        <f t="shared" si="1"/>
        <v>3</v>
      </c>
      <c r="R30" s="81" t="s">
        <v>86</v>
      </c>
      <c r="S30" s="82">
        <f>'Data By State'!L29</f>
        <v>9.1999999999999993</v>
      </c>
      <c r="T30" s="37"/>
      <c r="U30" s="57">
        <f t="shared" si="2"/>
        <v>8</v>
      </c>
      <c r="V30" s="81" t="s">
        <v>86</v>
      </c>
      <c r="W30" s="87">
        <f>'Data By State'!N29</f>
        <v>0.19127328817856959</v>
      </c>
      <c r="X30" s="33"/>
      <c r="Y30" s="80">
        <f t="shared" si="3"/>
        <v>7</v>
      </c>
      <c r="Z30" s="81" t="s">
        <v>86</v>
      </c>
      <c r="AA30" s="56">
        <f>'Data By State'!O29</f>
        <v>0.375</v>
      </c>
      <c r="AB30" s="29"/>
      <c r="AC30" s="80">
        <f t="shared" si="11"/>
        <v>9</v>
      </c>
      <c r="AD30" s="81" t="s">
        <v>86</v>
      </c>
      <c r="AE30" s="56">
        <f>'Data By State'!P29</f>
        <v>0.28796066852955132</v>
      </c>
      <c r="AF30" s="29"/>
      <c r="AG30" s="80">
        <f t="shared" si="4"/>
        <v>13</v>
      </c>
      <c r="AH30" s="81" t="s">
        <v>86</v>
      </c>
      <c r="AI30" s="56">
        <f>'Data By State'!Q29</f>
        <v>0.10660947228930634</v>
      </c>
      <c r="AJ30" s="29"/>
      <c r="AK30" s="80">
        <f t="shared" si="12"/>
        <v>6</v>
      </c>
      <c r="AL30" s="81" t="s">
        <v>86</v>
      </c>
      <c r="AM30" s="56">
        <f>'Data By State'!R29</f>
        <v>0.4977111055233584</v>
      </c>
    </row>
    <row r="31" spans="1:39">
      <c r="A31" s="93" t="s">
        <v>87</v>
      </c>
      <c r="B31" s="66">
        <f t="shared" si="0"/>
        <v>37.200000000000003</v>
      </c>
      <c r="C31" s="64">
        <f>'Data By State'!N30</f>
        <v>0.42182684653059177</v>
      </c>
      <c r="D31" s="64">
        <f>'Data By State'!O30</f>
        <v>1</v>
      </c>
      <c r="E31" s="64">
        <f>'Data By State'!P30</f>
        <v>0.19651575940663585</v>
      </c>
      <c r="F31" s="64">
        <f>'Data By State'!Q30</f>
        <v>0.17083799712268816</v>
      </c>
      <c r="G31" s="115">
        <f>'Data By State'!R30</f>
        <v>0.28631310711568847</v>
      </c>
      <c r="H31" s="97"/>
      <c r="I31" s="93" t="s">
        <v>87</v>
      </c>
      <c r="J31" s="25">
        <f t="shared" si="5"/>
        <v>49</v>
      </c>
      <c r="K31" s="105">
        <f t="shared" si="6"/>
        <v>38</v>
      </c>
      <c r="L31" s="105">
        <f t="shared" si="7"/>
        <v>41</v>
      </c>
      <c r="M31" s="105">
        <f t="shared" si="8"/>
        <v>41</v>
      </c>
      <c r="N31" s="105">
        <f t="shared" si="9"/>
        <v>25</v>
      </c>
      <c r="O31" s="107">
        <f t="shared" si="10"/>
        <v>45</v>
      </c>
      <c r="P31" s="24"/>
      <c r="Q31" s="80">
        <f t="shared" si="1"/>
        <v>49</v>
      </c>
      <c r="R31" s="81" t="s">
        <v>87</v>
      </c>
      <c r="S31" s="82">
        <f>'Data By State'!L30</f>
        <v>37.200000000000003</v>
      </c>
      <c r="T31" s="37"/>
      <c r="U31" s="57">
        <f t="shared" si="2"/>
        <v>38</v>
      </c>
      <c r="V31" s="81" t="s">
        <v>87</v>
      </c>
      <c r="W31" s="87">
        <f>'Data By State'!N30</f>
        <v>0.42182684653059177</v>
      </c>
      <c r="X31" s="33"/>
      <c r="Y31" s="80">
        <f t="shared" si="3"/>
        <v>41</v>
      </c>
      <c r="Z31" s="81" t="s">
        <v>87</v>
      </c>
      <c r="AA31" s="56">
        <f>'Data By State'!O30</f>
        <v>1</v>
      </c>
      <c r="AB31" s="29"/>
      <c r="AC31" s="80">
        <f t="shared" si="11"/>
        <v>41</v>
      </c>
      <c r="AD31" s="81" t="s">
        <v>87</v>
      </c>
      <c r="AE31" s="56">
        <f>'Data By State'!P30</f>
        <v>0.19651575940663585</v>
      </c>
      <c r="AF31" s="29"/>
      <c r="AG31" s="80">
        <f t="shared" si="4"/>
        <v>25</v>
      </c>
      <c r="AH31" s="81" t="s">
        <v>87</v>
      </c>
      <c r="AI31" s="56">
        <f>'Data By State'!Q30</f>
        <v>0.17083799712268816</v>
      </c>
      <c r="AJ31" s="29"/>
      <c r="AK31" s="80">
        <f t="shared" si="12"/>
        <v>45</v>
      </c>
      <c r="AL31" s="81" t="s">
        <v>87</v>
      </c>
      <c r="AM31" s="56">
        <f>'Data By State'!R30</f>
        <v>0.28631310711568847</v>
      </c>
    </row>
    <row r="32" spans="1:39">
      <c r="A32" s="112" t="s">
        <v>88</v>
      </c>
      <c r="B32" s="113">
        <f t="shared" si="0"/>
        <v>32.4</v>
      </c>
      <c r="C32" s="114">
        <f>'Data By State'!N31</f>
        <v>0.35818822127431493</v>
      </c>
      <c r="D32" s="114">
        <f>'Data By State'!O31</f>
        <v>0.875</v>
      </c>
      <c r="E32" s="114">
        <f>'Data By State'!P31</f>
        <v>0.20780866386813238</v>
      </c>
      <c r="F32" s="114">
        <f>'Data By State'!Q31</f>
        <v>0.13618021556429452</v>
      </c>
      <c r="G32" s="115">
        <f>'Data By State'!R31</f>
        <v>0.31784980397111967</v>
      </c>
      <c r="H32" s="97"/>
      <c r="I32" s="112" t="s">
        <v>88</v>
      </c>
      <c r="J32" s="116">
        <f t="shared" si="5"/>
        <v>40</v>
      </c>
      <c r="K32" s="117">
        <f t="shared" si="6"/>
        <v>35</v>
      </c>
      <c r="L32" s="117">
        <f t="shared" si="7"/>
        <v>37</v>
      </c>
      <c r="M32" s="117">
        <f t="shared" si="8"/>
        <v>37</v>
      </c>
      <c r="N32" s="117">
        <f t="shared" si="9"/>
        <v>16</v>
      </c>
      <c r="O32" s="118">
        <f t="shared" si="10"/>
        <v>38</v>
      </c>
      <c r="P32" s="24"/>
      <c r="Q32" s="119">
        <f t="shared" si="1"/>
        <v>40</v>
      </c>
      <c r="R32" s="120" t="s">
        <v>88</v>
      </c>
      <c r="S32" s="121">
        <f>'Data By State'!L31</f>
        <v>32.4</v>
      </c>
      <c r="T32" s="37"/>
      <c r="U32" s="122">
        <f t="shared" si="2"/>
        <v>35</v>
      </c>
      <c r="V32" s="120" t="s">
        <v>88</v>
      </c>
      <c r="W32" s="123">
        <f>'Data By State'!N31</f>
        <v>0.35818822127431493</v>
      </c>
      <c r="X32" s="33"/>
      <c r="Y32" s="119">
        <f t="shared" si="3"/>
        <v>37</v>
      </c>
      <c r="Z32" s="120" t="s">
        <v>88</v>
      </c>
      <c r="AA32" s="115">
        <f>'Data By State'!O31</f>
        <v>0.875</v>
      </c>
      <c r="AB32" s="29"/>
      <c r="AC32" s="119">
        <f t="shared" si="11"/>
        <v>37</v>
      </c>
      <c r="AD32" s="120" t="s">
        <v>88</v>
      </c>
      <c r="AE32" s="115">
        <f>'Data By State'!P31</f>
        <v>0.20780866386813238</v>
      </c>
      <c r="AF32" s="29"/>
      <c r="AG32" s="119">
        <f t="shared" si="4"/>
        <v>16</v>
      </c>
      <c r="AH32" s="120" t="s">
        <v>88</v>
      </c>
      <c r="AI32" s="115">
        <f>'Data By State'!Q31</f>
        <v>0.13618021556429452</v>
      </c>
      <c r="AJ32" s="29"/>
      <c r="AK32" s="119">
        <f t="shared" si="12"/>
        <v>38</v>
      </c>
      <c r="AL32" s="120" t="s">
        <v>88</v>
      </c>
      <c r="AM32" s="115">
        <f>'Data By State'!R31</f>
        <v>0.31784980397111967</v>
      </c>
    </row>
    <row r="33" spans="1:39">
      <c r="A33" s="93" t="s">
        <v>89</v>
      </c>
      <c r="B33" s="66">
        <f t="shared" si="0"/>
        <v>18.8</v>
      </c>
      <c r="C33" s="64">
        <f>'Data By State'!N32</f>
        <v>0.14996344741183215</v>
      </c>
      <c r="D33" s="64">
        <f>'Data By State'!O32</f>
        <v>0</v>
      </c>
      <c r="E33" s="64">
        <f>'Data By State'!P32</f>
        <v>0.25775134014362294</v>
      </c>
      <c r="F33" s="64">
        <f>'Data By State'!Q32</f>
        <v>0.42501827629408395</v>
      </c>
      <c r="G33" s="115">
        <f>'Data By State'!R32</f>
        <v>0.46521063012036007</v>
      </c>
      <c r="H33" s="97"/>
      <c r="I33" s="93" t="s">
        <v>89</v>
      </c>
      <c r="J33" s="25">
        <f t="shared" si="5"/>
        <v>12</v>
      </c>
      <c r="K33" s="105">
        <f t="shared" si="6"/>
        <v>5</v>
      </c>
      <c r="L33" s="105">
        <f t="shared" si="7"/>
        <v>1</v>
      </c>
      <c r="M33" s="105">
        <f t="shared" si="8"/>
        <v>20</v>
      </c>
      <c r="N33" s="105">
        <f t="shared" si="9"/>
        <v>48</v>
      </c>
      <c r="O33" s="107">
        <f t="shared" si="10"/>
        <v>9</v>
      </c>
      <c r="P33" s="24"/>
      <c r="Q33" s="80">
        <f t="shared" si="1"/>
        <v>12</v>
      </c>
      <c r="R33" s="81" t="s">
        <v>89</v>
      </c>
      <c r="S33" s="82">
        <f>'Data By State'!L32</f>
        <v>18.8</v>
      </c>
      <c r="T33" s="37"/>
      <c r="U33" s="57">
        <f t="shared" si="2"/>
        <v>5</v>
      </c>
      <c r="V33" s="81" t="s">
        <v>89</v>
      </c>
      <c r="W33" s="87">
        <f>'Data By State'!N32</f>
        <v>0.14996344741183215</v>
      </c>
      <c r="X33" s="33"/>
      <c r="Y33" s="80">
        <f t="shared" si="3"/>
        <v>1</v>
      </c>
      <c r="Z33" s="81" t="s">
        <v>89</v>
      </c>
      <c r="AA33" s="56">
        <f>'Data By State'!O32</f>
        <v>0</v>
      </c>
      <c r="AB33" s="29"/>
      <c r="AC33" s="80">
        <f t="shared" si="11"/>
        <v>20</v>
      </c>
      <c r="AD33" s="81" t="s">
        <v>89</v>
      </c>
      <c r="AE33" s="56">
        <f>'Data By State'!P32</f>
        <v>0.25775134014362294</v>
      </c>
      <c r="AF33" s="29"/>
      <c r="AG33" s="80">
        <f t="shared" si="4"/>
        <v>48</v>
      </c>
      <c r="AH33" s="81" t="s">
        <v>89</v>
      </c>
      <c r="AI33" s="56">
        <f>'Data By State'!Q32</f>
        <v>0.42501827629408395</v>
      </c>
      <c r="AJ33" s="29"/>
      <c r="AK33" s="80">
        <f t="shared" si="12"/>
        <v>9</v>
      </c>
      <c r="AL33" s="81" t="s">
        <v>89</v>
      </c>
      <c r="AM33" s="56">
        <f>'Data By State'!R32</f>
        <v>0.46521063012036007</v>
      </c>
    </row>
    <row r="34" spans="1:39">
      <c r="A34" s="93" t="s">
        <v>90</v>
      </c>
      <c r="B34" s="66">
        <f t="shared" si="0"/>
        <v>15.8</v>
      </c>
      <c r="C34" s="64">
        <f>'Data By State'!N33</f>
        <v>0.30582482673277656</v>
      </c>
      <c r="D34" s="64">
        <f>'Data By State'!O33</f>
        <v>0.66666666666666663</v>
      </c>
      <c r="E34" s="64">
        <f>'Data By State'!P33</f>
        <v>0.26044172677334426</v>
      </c>
      <c r="F34" s="64">
        <f>'Data By State'!Q33</f>
        <v>2.128222235927571E-2</v>
      </c>
      <c r="G34" s="115">
        <f>'Data By State'!R33</f>
        <v>0.40214242069638817</v>
      </c>
      <c r="H34" s="97"/>
      <c r="I34" s="93" t="s">
        <v>90</v>
      </c>
      <c r="J34" s="25">
        <f t="shared" si="5"/>
        <v>8</v>
      </c>
      <c r="K34" s="105">
        <f t="shared" si="6"/>
        <v>27</v>
      </c>
      <c r="L34" s="105">
        <f t="shared" si="7"/>
        <v>19</v>
      </c>
      <c r="M34" s="105">
        <f t="shared" si="8"/>
        <v>15</v>
      </c>
      <c r="N34" s="105">
        <f t="shared" si="9"/>
        <v>3</v>
      </c>
      <c r="O34" s="107">
        <f t="shared" si="10"/>
        <v>20</v>
      </c>
      <c r="P34" s="24"/>
      <c r="Q34" s="80">
        <f t="shared" si="1"/>
        <v>8</v>
      </c>
      <c r="R34" s="81" t="s">
        <v>90</v>
      </c>
      <c r="S34" s="82">
        <f>'Data By State'!L33</f>
        <v>15.8</v>
      </c>
      <c r="T34" s="37"/>
      <c r="U34" s="57">
        <f t="shared" si="2"/>
        <v>27</v>
      </c>
      <c r="V34" s="81" t="s">
        <v>90</v>
      </c>
      <c r="W34" s="87">
        <f>'Data By State'!N33</f>
        <v>0.30582482673277656</v>
      </c>
      <c r="X34" s="33"/>
      <c r="Y34" s="80">
        <f t="shared" si="3"/>
        <v>19</v>
      </c>
      <c r="Z34" s="81" t="s">
        <v>90</v>
      </c>
      <c r="AA34" s="56">
        <f>'Data By State'!O33</f>
        <v>0.66666666666666663</v>
      </c>
      <c r="AB34" s="29"/>
      <c r="AC34" s="80">
        <f t="shared" si="11"/>
        <v>15</v>
      </c>
      <c r="AD34" s="81" t="s">
        <v>90</v>
      </c>
      <c r="AE34" s="56">
        <f>'Data By State'!P33</f>
        <v>0.26044172677334426</v>
      </c>
      <c r="AF34" s="29"/>
      <c r="AG34" s="80">
        <f t="shared" si="4"/>
        <v>3</v>
      </c>
      <c r="AH34" s="81" t="s">
        <v>90</v>
      </c>
      <c r="AI34" s="56">
        <f>'Data By State'!Q33</f>
        <v>2.128222235927571E-2</v>
      </c>
      <c r="AJ34" s="29"/>
      <c r="AK34" s="80">
        <f t="shared" si="12"/>
        <v>20</v>
      </c>
      <c r="AL34" s="81" t="s">
        <v>90</v>
      </c>
      <c r="AM34" s="56">
        <f>'Data By State'!R33</f>
        <v>0.40214242069638817</v>
      </c>
    </row>
    <row r="35" spans="1:39">
      <c r="A35" s="93" t="s">
        <v>91</v>
      </c>
      <c r="B35" s="66">
        <f t="shared" si="0"/>
        <v>27.8</v>
      </c>
      <c r="C35" s="64">
        <f>'Data By State'!N34</f>
        <v>0.21040216110120119</v>
      </c>
      <c r="D35" s="64">
        <f>'Data By State'!O34</f>
        <v>0.5</v>
      </c>
      <c r="E35" s="64">
        <f>'Data By State'!P34</f>
        <v>0.16961567651448342</v>
      </c>
      <c r="F35" s="64">
        <f>'Data By State'!Q34</f>
        <v>0.16283569885582005</v>
      </c>
      <c r="G35" s="115">
        <f>'Data By State'!R34</f>
        <v>0.28778629757139951</v>
      </c>
      <c r="H35" s="97"/>
      <c r="I35" s="93" t="s">
        <v>91</v>
      </c>
      <c r="J35" s="25">
        <f t="shared" si="5"/>
        <v>28</v>
      </c>
      <c r="K35" s="105">
        <f t="shared" si="6"/>
        <v>11</v>
      </c>
      <c r="L35" s="105">
        <f t="shared" si="7"/>
        <v>9</v>
      </c>
      <c r="M35" s="105">
        <f t="shared" si="8"/>
        <v>48</v>
      </c>
      <c r="N35" s="105">
        <f t="shared" si="9"/>
        <v>23</v>
      </c>
      <c r="O35" s="107">
        <f t="shared" si="10"/>
        <v>44</v>
      </c>
      <c r="P35" s="24"/>
      <c r="Q35" s="80">
        <f t="shared" si="1"/>
        <v>28</v>
      </c>
      <c r="R35" s="81" t="s">
        <v>91</v>
      </c>
      <c r="S35" s="82">
        <f>'Data By State'!L34</f>
        <v>27.8</v>
      </c>
      <c r="T35" s="37"/>
      <c r="U35" s="57">
        <f t="shared" si="2"/>
        <v>11</v>
      </c>
      <c r="V35" s="81" t="s">
        <v>91</v>
      </c>
      <c r="W35" s="87">
        <f>'Data By State'!N34</f>
        <v>0.21040216110120119</v>
      </c>
      <c r="X35" s="33"/>
      <c r="Y35" s="80">
        <f t="shared" si="3"/>
        <v>9</v>
      </c>
      <c r="Z35" s="81" t="s">
        <v>91</v>
      </c>
      <c r="AA35" s="56">
        <f>'Data By State'!O34</f>
        <v>0.5</v>
      </c>
      <c r="AB35" s="29"/>
      <c r="AC35" s="80">
        <f t="shared" si="11"/>
        <v>48</v>
      </c>
      <c r="AD35" s="81" t="s">
        <v>91</v>
      </c>
      <c r="AE35" s="56">
        <f>'Data By State'!P34</f>
        <v>0.16961567651448342</v>
      </c>
      <c r="AF35" s="29"/>
      <c r="AG35" s="80">
        <f t="shared" si="4"/>
        <v>23</v>
      </c>
      <c r="AH35" s="81" t="s">
        <v>91</v>
      </c>
      <c r="AI35" s="56">
        <f>'Data By State'!Q34</f>
        <v>0.16283569885582005</v>
      </c>
      <c r="AJ35" s="29"/>
      <c r="AK35" s="80">
        <f t="shared" si="12"/>
        <v>44</v>
      </c>
      <c r="AL35" s="81" t="s">
        <v>91</v>
      </c>
      <c r="AM35" s="56">
        <f>'Data By State'!R34</f>
        <v>0.28778629757139951</v>
      </c>
    </row>
    <row r="36" spans="1:39">
      <c r="A36" s="93" t="s">
        <v>92</v>
      </c>
      <c r="B36" s="66">
        <f t="shared" si="0"/>
        <v>9.6</v>
      </c>
      <c r="C36" s="64">
        <f>'Data By State'!N35</f>
        <v>6.8015944799001943E-2</v>
      </c>
      <c r="D36" s="64">
        <f>'Data By State'!O35</f>
        <v>0</v>
      </c>
      <c r="E36" s="64">
        <f>'Data By State'!P35</f>
        <v>0.25001707853589128</v>
      </c>
      <c r="F36" s="64">
        <f>'Data By State'!Q35</f>
        <v>1.5682543643490643E-2</v>
      </c>
      <c r="G36" s="115">
        <f>'Data By State'!R35</f>
        <v>0.46930352754719046</v>
      </c>
      <c r="H36" s="97"/>
      <c r="I36" s="93" t="s">
        <v>92</v>
      </c>
      <c r="J36" s="25">
        <f t="shared" si="5"/>
        <v>4</v>
      </c>
      <c r="K36" s="105">
        <f t="shared" si="6"/>
        <v>1</v>
      </c>
      <c r="L36" s="105">
        <f t="shared" si="7"/>
        <v>1</v>
      </c>
      <c r="M36" s="105">
        <f t="shared" si="8"/>
        <v>22</v>
      </c>
      <c r="N36" s="105">
        <f t="shared" si="9"/>
        <v>2</v>
      </c>
      <c r="O36" s="107">
        <f t="shared" si="10"/>
        <v>8</v>
      </c>
      <c r="P36" s="24"/>
      <c r="Q36" s="80">
        <f t="shared" si="1"/>
        <v>4</v>
      </c>
      <c r="R36" s="81" t="s">
        <v>92</v>
      </c>
      <c r="S36" s="82">
        <f>'Data By State'!L35</f>
        <v>9.6</v>
      </c>
      <c r="T36" s="37"/>
      <c r="U36" s="57">
        <f t="shared" si="2"/>
        <v>1</v>
      </c>
      <c r="V36" s="81" t="s">
        <v>92</v>
      </c>
      <c r="W36" s="87">
        <f>'Data By State'!N35</f>
        <v>6.8015944799001943E-2</v>
      </c>
      <c r="X36" s="33"/>
      <c r="Y36" s="80">
        <f t="shared" si="3"/>
        <v>1</v>
      </c>
      <c r="Z36" s="81" t="s">
        <v>92</v>
      </c>
      <c r="AA36" s="56">
        <f>'Data By State'!O35</f>
        <v>0</v>
      </c>
      <c r="AB36" s="29"/>
      <c r="AC36" s="80">
        <f t="shared" si="11"/>
        <v>22</v>
      </c>
      <c r="AD36" s="81" t="s">
        <v>92</v>
      </c>
      <c r="AE36" s="56">
        <f>'Data By State'!P35</f>
        <v>0.25001707853589128</v>
      </c>
      <c r="AF36" s="29"/>
      <c r="AG36" s="80">
        <f t="shared" si="4"/>
        <v>2</v>
      </c>
      <c r="AH36" s="81" t="s">
        <v>92</v>
      </c>
      <c r="AI36" s="56">
        <f>'Data By State'!Q35</f>
        <v>1.5682543643490643E-2</v>
      </c>
      <c r="AJ36" s="29"/>
      <c r="AK36" s="80">
        <f t="shared" si="12"/>
        <v>8</v>
      </c>
      <c r="AL36" s="81" t="s">
        <v>92</v>
      </c>
      <c r="AM36" s="56">
        <f>'Data By State'!R35</f>
        <v>0.46930352754719046</v>
      </c>
    </row>
    <row r="37" spans="1:39">
      <c r="A37" s="112" t="s">
        <v>93</v>
      </c>
      <c r="B37" s="113">
        <f t="shared" si="0"/>
        <v>27.8</v>
      </c>
      <c r="C37" s="114">
        <f>'Data By State'!N36</f>
        <v>0.30108543897924911</v>
      </c>
      <c r="D37" s="114">
        <f>'Data By State'!O36</f>
        <v>0.75</v>
      </c>
      <c r="E37" s="114">
        <f>'Data By State'!P36</f>
        <v>0.19012542659957363</v>
      </c>
      <c r="F37" s="114">
        <f>'Data By State'!Q36</f>
        <v>1.0131686949073876E-2</v>
      </c>
      <c r="G37" s="115">
        <f>'Data By State'!R36</f>
        <v>0.30315783551731895</v>
      </c>
      <c r="H37" s="97"/>
      <c r="I37" s="112" t="s">
        <v>93</v>
      </c>
      <c r="J37" s="116">
        <f t="shared" si="5"/>
        <v>28</v>
      </c>
      <c r="K37" s="117">
        <f t="shared" si="6"/>
        <v>26</v>
      </c>
      <c r="L37" s="117">
        <f t="shared" si="7"/>
        <v>26</v>
      </c>
      <c r="M37" s="117">
        <f t="shared" si="8"/>
        <v>43</v>
      </c>
      <c r="N37" s="117">
        <f t="shared" si="9"/>
        <v>1</v>
      </c>
      <c r="O37" s="118">
        <f t="shared" si="10"/>
        <v>39</v>
      </c>
      <c r="P37" s="24"/>
      <c r="Q37" s="119">
        <f t="shared" si="1"/>
        <v>28</v>
      </c>
      <c r="R37" s="120" t="s">
        <v>93</v>
      </c>
      <c r="S37" s="121">
        <f>'Data By State'!L36</f>
        <v>27.8</v>
      </c>
      <c r="T37" s="37"/>
      <c r="U37" s="122">
        <f t="shared" si="2"/>
        <v>26</v>
      </c>
      <c r="V37" s="120" t="s">
        <v>93</v>
      </c>
      <c r="W37" s="123">
        <f>'Data By State'!N36</f>
        <v>0.30108543897924911</v>
      </c>
      <c r="X37" s="33"/>
      <c r="Y37" s="119">
        <f t="shared" si="3"/>
        <v>26</v>
      </c>
      <c r="Z37" s="120" t="s">
        <v>93</v>
      </c>
      <c r="AA37" s="115">
        <f>'Data By State'!O36</f>
        <v>0.75</v>
      </c>
      <c r="AB37" s="29"/>
      <c r="AC37" s="119">
        <f t="shared" si="11"/>
        <v>43</v>
      </c>
      <c r="AD37" s="120" t="s">
        <v>93</v>
      </c>
      <c r="AE37" s="115">
        <f>'Data By State'!P36</f>
        <v>0.19012542659957363</v>
      </c>
      <c r="AF37" s="29"/>
      <c r="AG37" s="119">
        <f t="shared" si="4"/>
        <v>1</v>
      </c>
      <c r="AH37" s="120" t="s">
        <v>93</v>
      </c>
      <c r="AI37" s="115">
        <f>'Data By State'!Q36</f>
        <v>1.0131686949073876E-2</v>
      </c>
      <c r="AJ37" s="29"/>
      <c r="AK37" s="119">
        <f t="shared" si="12"/>
        <v>39</v>
      </c>
      <c r="AL37" s="120" t="s">
        <v>93</v>
      </c>
      <c r="AM37" s="115">
        <f>'Data By State'!R36</f>
        <v>0.30315783551731895</v>
      </c>
    </row>
    <row r="38" spans="1:39">
      <c r="A38" s="93" t="s">
        <v>94</v>
      </c>
      <c r="B38" s="66">
        <f t="shared" si="0"/>
        <v>24.4</v>
      </c>
      <c r="C38" s="64">
        <f>'Data By State'!N37</f>
        <v>0.23049441186122013</v>
      </c>
      <c r="D38" s="64">
        <f>'Data By State'!O37</f>
        <v>0.66666666666666663</v>
      </c>
      <c r="E38" s="64">
        <f>'Data By State'!P37</f>
        <v>0.21846833054041565</v>
      </c>
      <c r="F38" s="64">
        <f>'Data By State'!Q37</f>
        <v>0.13669899814737035</v>
      </c>
      <c r="G38" s="115">
        <f>'Data By State'!R37</f>
        <v>0.35622574754622233</v>
      </c>
      <c r="H38" s="97"/>
      <c r="I38" s="93" t="s">
        <v>94</v>
      </c>
      <c r="J38" s="25">
        <f t="shared" si="5"/>
        <v>24</v>
      </c>
      <c r="K38" s="105">
        <f t="shared" si="6"/>
        <v>14</v>
      </c>
      <c r="L38" s="105">
        <f t="shared" si="7"/>
        <v>19</v>
      </c>
      <c r="M38" s="105">
        <f t="shared" si="8"/>
        <v>36</v>
      </c>
      <c r="N38" s="105">
        <f t="shared" si="9"/>
        <v>17</v>
      </c>
      <c r="O38" s="107">
        <f t="shared" si="10"/>
        <v>30</v>
      </c>
      <c r="P38" s="24"/>
      <c r="Q38" s="80">
        <f t="shared" si="1"/>
        <v>24</v>
      </c>
      <c r="R38" s="81" t="s">
        <v>94</v>
      </c>
      <c r="S38" s="82">
        <f>'Data By State'!L37</f>
        <v>24.4</v>
      </c>
      <c r="T38" s="37"/>
      <c r="U38" s="57">
        <f t="shared" si="2"/>
        <v>14</v>
      </c>
      <c r="V38" s="81" t="s">
        <v>94</v>
      </c>
      <c r="W38" s="87">
        <f>'Data By State'!N37</f>
        <v>0.23049441186122013</v>
      </c>
      <c r="X38" s="33"/>
      <c r="Y38" s="80">
        <f t="shared" si="3"/>
        <v>19</v>
      </c>
      <c r="Z38" s="81" t="s">
        <v>94</v>
      </c>
      <c r="AA38" s="56">
        <f>'Data By State'!O37</f>
        <v>0.66666666666666663</v>
      </c>
      <c r="AB38" s="29"/>
      <c r="AC38" s="80">
        <f t="shared" si="11"/>
        <v>36</v>
      </c>
      <c r="AD38" s="81" t="s">
        <v>94</v>
      </c>
      <c r="AE38" s="56">
        <f>'Data By State'!P37</f>
        <v>0.21846833054041565</v>
      </c>
      <c r="AF38" s="29"/>
      <c r="AG38" s="80">
        <f t="shared" si="4"/>
        <v>17</v>
      </c>
      <c r="AH38" s="81" t="s">
        <v>94</v>
      </c>
      <c r="AI38" s="56">
        <f>'Data By State'!Q37</f>
        <v>0.13669899814737035</v>
      </c>
      <c r="AJ38" s="29"/>
      <c r="AK38" s="80">
        <f t="shared" si="12"/>
        <v>30</v>
      </c>
      <c r="AL38" s="81" t="s">
        <v>94</v>
      </c>
      <c r="AM38" s="56">
        <f>'Data By State'!R37</f>
        <v>0.35622574754622233</v>
      </c>
    </row>
    <row r="39" spans="1:39">
      <c r="A39" s="93" t="s">
        <v>95</v>
      </c>
      <c r="B39" s="66">
        <f t="shared" si="0"/>
        <v>34.200000000000003</v>
      </c>
      <c r="C39" s="64">
        <f>'Data By State'!N38</f>
        <v>0.47021653199196933</v>
      </c>
      <c r="D39" s="64">
        <f>'Data By State'!O38</f>
        <v>0.70370370370370372</v>
      </c>
      <c r="E39" s="64">
        <f>'Data By State'!P38</f>
        <v>0.18271765631225498</v>
      </c>
      <c r="F39" s="64">
        <f>'Data By State'!Q38</f>
        <v>0.10541755773479897</v>
      </c>
      <c r="G39" s="115">
        <f>'Data By State'!R38</f>
        <v>0.27005032451110994</v>
      </c>
      <c r="H39" s="97"/>
      <c r="I39" s="93" t="s">
        <v>95</v>
      </c>
      <c r="J39" s="25">
        <f t="shared" si="5"/>
        <v>42</v>
      </c>
      <c r="K39" s="105">
        <f t="shared" si="6"/>
        <v>44</v>
      </c>
      <c r="L39" s="105">
        <f t="shared" si="7"/>
        <v>23</v>
      </c>
      <c r="M39" s="105">
        <f t="shared" si="8"/>
        <v>46</v>
      </c>
      <c r="N39" s="105">
        <f t="shared" si="9"/>
        <v>12</v>
      </c>
      <c r="O39" s="107">
        <f t="shared" si="10"/>
        <v>48</v>
      </c>
      <c r="P39" s="24"/>
      <c r="Q39" s="80">
        <f t="shared" si="1"/>
        <v>42</v>
      </c>
      <c r="R39" s="81" t="s">
        <v>95</v>
      </c>
      <c r="S39" s="82">
        <f>'Data By State'!L38</f>
        <v>34.200000000000003</v>
      </c>
      <c r="T39" s="37"/>
      <c r="U39" s="57">
        <f t="shared" si="2"/>
        <v>44</v>
      </c>
      <c r="V39" s="81" t="s">
        <v>95</v>
      </c>
      <c r="W39" s="87">
        <f>'Data By State'!N38</f>
        <v>0.47021653199196933</v>
      </c>
      <c r="X39" s="33"/>
      <c r="Y39" s="80">
        <f t="shared" si="3"/>
        <v>23</v>
      </c>
      <c r="Z39" s="81" t="s">
        <v>95</v>
      </c>
      <c r="AA39" s="56">
        <f>'Data By State'!O38</f>
        <v>0.70370370370370372</v>
      </c>
      <c r="AB39" s="29"/>
      <c r="AC39" s="80">
        <f t="shared" si="11"/>
        <v>46</v>
      </c>
      <c r="AD39" s="81" t="s">
        <v>95</v>
      </c>
      <c r="AE39" s="56">
        <f>'Data By State'!P38</f>
        <v>0.18271765631225498</v>
      </c>
      <c r="AF39" s="29"/>
      <c r="AG39" s="80">
        <f t="shared" si="4"/>
        <v>12</v>
      </c>
      <c r="AH39" s="81" t="s">
        <v>95</v>
      </c>
      <c r="AI39" s="56">
        <f>'Data By State'!Q38</f>
        <v>0.10541755773479897</v>
      </c>
      <c r="AJ39" s="29"/>
      <c r="AK39" s="80">
        <f t="shared" si="12"/>
        <v>48</v>
      </c>
      <c r="AL39" s="81" t="s">
        <v>95</v>
      </c>
      <c r="AM39" s="56">
        <f>'Data By State'!R38</f>
        <v>0.27005032451110994</v>
      </c>
    </row>
    <row r="40" spans="1:39">
      <c r="A40" s="93" t="s">
        <v>96</v>
      </c>
      <c r="B40" s="66">
        <f t="shared" ref="B40:B58" si="13">S40</f>
        <v>25.6</v>
      </c>
      <c r="C40" s="64">
        <f>'Data By State'!N39</f>
        <v>0.34350692180625592</v>
      </c>
      <c r="D40" s="64">
        <f>'Data By State'!O39</f>
        <v>0.76923076923076927</v>
      </c>
      <c r="E40" s="64">
        <f>'Data By State'!P39</f>
        <v>0.25991533033060821</v>
      </c>
      <c r="F40" s="64">
        <f>'Data By State'!Q39</f>
        <v>0.21201260169646188</v>
      </c>
      <c r="G40" s="115">
        <f>'Data By State'!R39</f>
        <v>0.39370779345693074</v>
      </c>
      <c r="H40" s="97"/>
      <c r="I40" s="93" t="s">
        <v>96</v>
      </c>
      <c r="J40" s="25">
        <f t="shared" si="5"/>
        <v>27</v>
      </c>
      <c r="K40" s="105">
        <f t="shared" si="6"/>
        <v>34</v>
      </c>
      <c r="L40" s="105">
        <f t="shared" si="7"/>
        <v>30</v>
      </c>
      <c r="M40" s="105">
        <f t="shared" si="8"/>
        <v>16</v>
      </c>
      <c r="N40" s="105">
        <f t="shared" si="9"/>
        <v>32</v>
      </c>
      <c r="O40" s="107">
        <f t="shared" si="10"/>
        <v>22</v>
      </c>
      <c r="P40" s="24"/>
      <c r="Q40" s="80">
        <f t="shared" ref="Q40:Q57" si="14">RANK(S40,S$8:S$57,1)</f>
        <v>27</v>
      </c>
      <c r="R40" s="81" t="s">
        <v>96</v>
      </c>
      <c r="S40" s="82">
        <f>'Data By State'!L39</f>
        <v>25.6</v>
      </c>
      <c r="T40" s="37"/>
      <c r="U40" s="57">
        <f t="shared" si="2"/>
        <v>34</v>
      </c>
      <c r="V40" s="81" t="s">
        <v>96</v>
      </c>
      <c r="W40" s="87">
        <f>'Data By State'!N39</f>
        <v>0.34350692180625592</v>
      </c>
      <c r="X40" s="33"/>
      <c r="Y40" s="80">
        <f t="shared" si="3"/>
        <v>30</v>
      </c>
      <c r="Z40" s="81" t="s">
        <v>96</v>
      </c>
      <c r="AA40" s="56">
        <f>'Data By State'!O39</f>
        <v>0.76923076923076927</v>
      </c>
      <c r="AB40" s="29"/>
      <c r="AC40" s="80">
        <f t="shared" si="11"/>
        <v>16</v>
      </c>
      <c r="AD40" s="81" t="s">
        <v>96</v>
      </c>
      <c r="AE40" s="56">
        <f>'Data By State'!P39</f>
        <v>0.25991533033060821</v>
      </c>
      <c r="AF40" s="29"/>
      <c r="AG40" s="80">
        <f t="shared" si="4"/>
        <v>32</v>
      </c>
      <c r="AH40" s="81" t="s">
        <v>96</v>
      </c>
      <c r="AI40" s="56">
        <f>'Data By State'!Q39</f>
        <v>0.21201260169646188</v>
      </c>
      <c r="AJ40" s="29"/>
      <c r="AK40" s="80">
        <f t="shared" si="12"/>
        <v>22</v>
      </c>
      <c r="AL40" s="81" t="s">
        <v>96</v>
      </c>
      <c r="AM40" s="56">
        <f>'Data By State'!R39</f>
        <v>0.39370779345693074</v>
      </c>
    </row>
    <row r="41" spans="1:39">
      <c r="A41" s="93" t="s">
        <v>97</v>
      </c>
      <c r="B41" s="66">
        <f t="shared" si="13"/>
        <v>21.6</v>
      </c>
      <c r="C41" s="64">
        <f>'Data By State'!N40</f>
        <v>0.17059556842401574</v>
      </c>
      <c r="D41" s="64">
        <f>'Data By State'!O40</f>
        <v>0</v>
      </c>
      <c r="E41" s="64">
        <f>'Data By State'!P40</f>
        <v>0.24349261147148174</v>
      </c>
      <c r="F41" s="64">
        <f>'Data By State'!Q40</f>
        <v>0.41470221578799216</v>
      </c>
      <c r="G41" s="115">
        <f>'Data By State'!R40</f>
        <v>0.43844538518909026</v>
      </c>
      <c r="H41" s="97"/>
      <c r="I41" s="93" t="s">
        <v>97</v>
      </c>
      <c r="J41" s="25">
        <f t="shared" si="5"/>
        <v>14</v>
      </c>
      <c r="K41" s="105">
        <f t="shared" si="6"/>
        <v>6</v>
      </c>
      <c r="L41" s="105">
        <f t="shared" si="7"/>
        <v>1</v>
      </c>
      <c r="M41" s="105">
        <f t="shared" si="8"/>
        <v>27</v>
      </c>
      <c r="N41" s="105">
        <f t="shared" si="9"/>
        <v>47</v>
      </c>
      <c r="O41" s="107">
        <f t="shared" si="10"/>
        <v>11</v>
      </c>
      <c r="P41" s="24"/>
      <c r="Q41" s="80">
        <f t="shared" si="14"/>
        <v>14</v>
      </c>
      <c r="R41" s="81" t="s">
        <v>97</v>
      </c>
      <c r="S41" s="82">
        <f>'Data By State'!L40</f>
        <v>21.6</v>
      </c>
      <c r="T41" s="37"/>
      <c r="U41" s="57">
        <f t="shared" si="2"/>
        <v>6</v>
      </c>
      <c r="V41" s="81" t="s">
        <v>97</v>
      </c>
      <c r="W41" s="87">
        <f>'Data By State'!N40</f>
        <v>0.17059556842401574</v>
      </c>
      <c r="X41" s="33"/>
      <c r="Y41" s="80">
        <f t="shared" si="3"/>
        <v>1</v>
      </c>
      <c r="Z41" s="81" t="s">
        <v>97</v>
      </c>
      <c r="AA41" s="56">
        <f>'Data By State'!O40</f>
        <v>0</v>
      </c>
      <c r="AB41" s="29"/>
      <c r="AC41" s="80">
        <f t="shared" si="11"/>
        <v>27</v>
      </c>
      <c r="AD41" s="81" t="s">
        <v>97</v>
      </c>
      <c r="AE41" s="56">
        <f>'Data By State'!P40</f>
        <v>0.24349261147148174</v>
      </c>
      <c r="AF41" s="29"/>
      <c r="AG41" s="80">
        <f t="shared" si="4"/>
        <v>47</v>
      </c>
      <c r="AH41" s="81" t="s">
        <v>97</v>
      </c>
      <c r="AI41" s="56">
        <f>'Data By State'!Q40</f>
        <v>0.41470221578799216</v>
      </c>
      <c r="AJ41" s="29"/>
      <c r="AK41" s="80">
        <f t="shared" si="12"/>
        <v>11</v>
      </c>
      <c r="AL41" s="81" t="s">
        <v>97</v>
      </c>
      <c r="AM41" s="56">
        <f>'Data By State'!R40</f>
        <v>0.43844538518909026</v>
      </c>
    </row>
    <row r="42" spans="1:39">
      <c r="A42" s="112" t="s">
        <v>98</v>
      </c>
      <c r="B42" s="113">
        <f t="shared" si="13"/>
        <v>31.4</v>
      </c>
      <c r="C42" s="114">
        <f>'Data By State'!N41</f>
        <v>0.38381788431640662</v>
      </c>
      <c r="D42" s="114">
        <f>'Data By State'!O41</f>
        <v>0.9375</v>
      </c>
      <c r="E42" s="114">
        <f>'Data By State'!P41</f>
        <v>0.23390623401611693</v>
      </c>
      <c r="F42" s="114">
        <f>'Data By State'!Q41</f>
        <v>0.15144646383840404</v>
      </c>
      <c r="G42" s="115">
        <f>'Data By State'!R41</f>
        <v>0.34482946884945925</v>
      </c>
      <c r="H42" s="97"/>
      <c r="I42" s="112" t="s">
        <v>98</v>
      </c>
      <c r="J42" s="116">
        <f t="shared" si="5"/>
        <v>38</v>
      </c>
      <c r="K42" s="117">
        <f t="shared" si="6"/>
        <v>37</v>
      </c>
      <c r="L42" s="117">
        <f t="shared" si="7"/>
        <v>39</v>
      </c>
      <c r="M42" s="117">
        <f t="shared" si="8"/>
        <v>31</v>
      </c>
      <c r="N42" s="117">
        <f t="shared" si="9"/>
        <v>19</v>
      </c>
      <c r="O42" s="118">
        <f t="shared" si="10"/>
        <v>32</v>
      </c>
      <c r="P42" s="24"/>
      <c r="Q42" s="119">
        <f t="shared" si="14"/>
        <v>38</v>
      </c>
      <c r="R42" s="120" t="s">
        <v>98</v>
      </c>
      <c r="S42" s="121">
        <f>'Data By State'!L41</f>
        <v>31.4</v>
      </c>
      <c r="T42" s="37"/>
      <c r="U42" s="122">
        <f t="shared" si="2"/>
        <v>37</v>
      </c>
      <c r="V42" s="120" t="s">
        <v>98</v>
      </c>
      <c r="W42" s="123">
        <f>'Data By State'!N41</f>
        <v>0.38381788431640662</v>
      </c>
      <c r="X42" s="33"/>
      <c r="Y42" s="119">
        <f t="shared" si="3"/>
        <v>39</v>
      </c>
      <c r="Z42" s="120" t="s">
        <v>98</v>
      </c>
      <c r="AA42" s="115">
        <f>'Data By State'!O41</f>
        <v>0.9375</v>
      </c>
      <c r="AB42" s="29"/>
      <c r="AC42" s="119">
        <f t="shared" si="11"/>
        <v>31</v>
      </c>
      <c r="AD42" s="120" t="s">
        <v>98</v>
      </c>
      <c r="AE42" s="115">
        <f>'Data By State'!P41</f>
        <v>0.23390623401611693</v>
      </c>
      <c r="AF42" s="29"/>
      <c r="AG42" s="119">
        <f t="shared" si="4"/>
        <v>19</v>
      </c>
      <c r="AH42" s="120" t="s">
        <v>98</v>
      </c>
      <c r="AI42" s="115">
        <f>'Data By State'!Q41</f>
        <v>0.15144646383840404</v>
      </c>
      <c r="AJ42" s="29"/>
      <c r="AK42" s="119">
        <f t="shared" si="12"/>
        <v>32</v>
      </c>
      <c r="AL42" s="120" t="s">
        <v>98</v>
      </c>
      <c r="AM42" s="115">
        <f>'Data By State'!R41</f>
        <v>0.34482946884945925</v>
      </c>
    </row>
    <row r="43" spans="1:39">
      <c r="A43" s="93" t="s">
        <v>99</v>
      </c>
      <c r="B43" s="66">
        <f t="shared" si="13"/>
        <v>44.6</v>
      </c>
      <c r="C43" s="64">
        <f>'Data By State'!N42</f>
        <v>0.5451644730426326</v>
      </c>
      <c r="D43" s="64">
        <f>'Data By State'!O42</f>
        <v>1</v>
      </c>
      <c r="E43" s="64">
        <f>'Data By State'!P42</f>
        <v>0.16521386887561249</v>
      </c>
      <c r="F43" s="64">
        <f>'Data By State'!Q42</f>
        <v>0.28299209995500552</v>
      </c>
      <c r="G43" s="115">
        <f>'Data By State'!R42</f>
        <v>0.23590417888764212</v>
      </c>
      <c r="H43" s="97"/>
      <c r="I43" s="93" t="s">
        <v>99</v>
      </c>
      <c r="J43" s="25">
        <f t="shared" si="5"/>
        <v>50</v>
      </c>
      <c r="K43" s="105">
        <f t="shared" si="6"/>
        <v>47</v>
      </c>
      <c r="L43" s="105">
        <f t="shared" si="7"/>
        <v>41</v>
      </c>
      <c r="M43" s="105">
        <f t="shared" si="8"/>
        <v>50</v>
      </c>
      <c r="N43" s="105">
        <f t="shared" si="9"/>
        <v>35</v>
      </c>
      <c r="O43" s="107">
        <f t="shared" si="10"/>
        <v>50</v>
      </c>
      <c r="P43" s="24"/>
      <c r="Q43" s="80">
        <f t="shared" si="14"/>
        <v>50</v>
      </c>
      <c r="R43" s="81" t="s">
        <v>99</v>
      </c>
      <c r="S43" s="82">
        <f>'Data By State'!L42</f>
        <v>44.6</v>
      </c>
      <c r="T43" s="37"/>
      <c r="U43" s="57">
        <f t="shared" si="2"/>
        <v>47</v>
      </c>
      <c r="V43" s="81" t="s">
        <v>99</v>
      </c>
      <c r="W43" s="87">
        <f>'Data By State'!N42</f>
        <v>0.5451644730426326</v>
      </c>
      <c r="X43" s="33"/>
      <c r="Y43" s="80">
        <f t="shared" si="3"/>
        <v>41</v>
      </c>
      <c r="Z43" s="81" t="s">
        <v>99</v>
      </c>
      <c r="AA43" s="56">
        <f>'Data By State'!O42</f>
        <v>1</v>
      </c>
      <c r="AB43" s="29"/>
      <c r="AC43" s="80">
        <f t="shared" si="11"/>
        <v>50</v>
      </c>
      <c r="AD43" s="81" t="s">
        <v>99</v>
      </c>
      <c r="AE43" s="56">
        <f>'Data By State'!P42</f>
        <v>0.16521386887561249</v>
      </c>
      <c r="AF43" s="29"/>
      <c r="AG43" s="80">
        <f t="shared" si="4"/>
        <v>35</v>
      </c>
      <c r="AH43" s="81" t="s">
        <v>99</v>
      </c>
      <c r="AI43" s="56">
        <f>'Data By State'!Q42</f>
        <v>0.28299209995500552</v>
      </c>
      <c r="AJ43" s="29"/>
      <c r="AK43" s="80">
        <f t="shared" si="12"/>
        <v>50</v>
      </c>
      <c r="AL43" s="81" t="s">
        <v>99</v>
      </c>
      <c r="AM43" s="56">
        <f>'Data By State'!R42</f>
        <v>0.23590417888764212</v>
      </c>
    </row>
    <row r="44" spans="1:39">
      <c r="A44" s="93" t="s">
        <v>100</v>
      </c>
      <c r="B44" s="66">
        <f t="shared" si="13"/>
        <v>19.600000000000001</v>
      </c>
      <c r="C44" s="64">
        <f>'Data By State'!N43</f>
        <v>0.31145853203063528</v>
      </c>
      <c r="D44" s="64">
        <f>'Data By State'!O43</f>
        <v>0.8</v>
      </c>
      <c r="E44" s="64">
        <f>'Data By State'!P43</f>
        <v>0.31462821614745534</v>
      </c>
      <c r="F44" s="64">
        <f>'Data By State'!Q43</f>
        <v>0.23271188707260351</v>
      </c>
      <c r="G44" s="115">
        <f>'Data By State'!R43</f>
        <v>0.50338335467918249</v>
      </c>
      <c r="H44" s="97"/>
      <c r="I44" s="93" t="s">
        <v>100</v>
      </c>
      <c r="J44" s="25">
        <f t="shared" si="5"/>
        <v>13</v>
      </c>
      <c r="K44" s="105">
        <f t="shared" si="6"/>
        <v>28</v>
      </c>
      <c r="L44" s="105">
        <f t="shared" si="7"/>
        <v>33</v>
      </c>
      <c r="M44" s="105">
        <f t="shared" si="8"/>
        <v>2</v>
      </c>
      <c r="N44" s="105">
        <f t="shared" si="9"/>
        <v>33</v>
      </c>
      <c r="O44" s="107">
        <f t="shared" si="10"/>
        <v>5</v>
      </c>
      <c r="P44" s="24"/>
      <c r="Q44" s="80">
        <f t="shared" si="14"/>
        <v>13</v>
      </c>
      <c r="R44" s="81" t="s">
        <v>100</v>
      </c>
      <c r="S44" s="82">
        <f>'Data By State'!L43</f>
        <v>19.600000000000001</v>
      </c>
      <c r="T44" s="37"/>
      <c r="U44" s="57">
        <f t="shared" si="2"/>
        <v>28</v>
      </c>
      <c r="V44" s="81" t="s">
        <v>100</v>
      </c>
      <c r="W44" s="87">
        <f>'Data By State'!N43</f>
        <v>0.31145853203063528</v>
      </c>
      <c r="X44" s="33"/>
      <c r="Y44" s="80">
        <f t="shared" si="3"/>
        <v>33</v>
      </c>
      <c r="Z44" s="81" t="s">
        <v>100</v>
      </c>
      <c r="AA44" s="56">
        <f>'Data By State'!O43</f>
        <v>0.8</v>
      </c>
      <c r="AB44" s="29"/>
      <c r="AC44" s="80">
        <f t="shared" si="11"/>
        <v>2</v>
      </c>
      <c r="AD44" s="81" t="s">
        <v>100</v>
      </c>
      <c r="AE44" s="56">
        <f>'Data By State'!P43</f>
        <v>0.31462821614745534</v>
      </c>
      <c r="AF44" s="29"/>
      <c r="AG44" s="80">
        <f t="shared" si="4"/>
        <v>33</v>
      </c>
      <c r="AH44" s="81" t="s">
        <v>100</v>
      </c>
      <c r="AI44" s="56">
        <f>'Data By State'!Q43</f>
        <v>0.23271188707260351</v>
      </c>
      <c r="AJ44" s="29"/>
      <c r="AK44" s="80">
        <f t="shared" si="12"/>
        <v>5</v>
      </c>
      <c r="AL44" s="81" t="s">
        <v>100</v>
      </c>
      <c r="AM44" s="56">
        <f>'Data By State'!R43</f>
        <v>0.50338335467918249</v>
      </c>
    </row>
    <row r="45" spans="1:39">
      <c r="A45" s="93" t="s">
        <v>101</v>
      </c>
      <c r="B45" s="66">
        <f t="shared" si="13"/>
        <v>30.4</v>
      </c>
      <c r="C45" s="64">
        <f>'Data By State'!N44</f>
        <v>0.43236322376493447</v>
      </c>
      <c r="D45" s="64">
        <f>'Data By State'!O44</f>
        <v>0.77777777777777779</v>
      </c>
      <c r="E45" s="64">
        <f>'Data By State'!P44</f>
        <v>0.23981417749981912</v>
      </c>
      <c r="F45" s="64">
        <f>'Data By State'!Q44</f>
        <v>0.16721885682762555</v>
      </c>
      <c r="G45" s="115">
        <f>'Data By State'!R44</f>
        <v>0.34255591691831161</v>
      </c>
      <c r="H45" s="97"/>
      <c r="I45" s="93" t="s">
        <v>101</v>
      </c>
      <c r="J45" s="25">
        <f t="shared" si="5"/>
        <v>34</v>
      </c>
      <c r="K45" s="105">
        <f t="shared" si="6"/>
        <v>39</v>
      </c>
      <c r="L45" s="105">
        <f t="shared" si="7"/>
        <v>31</v>
      </c>
      <c r="M45" s="105">
        <f t="shared" si="8"/>
        <v>29</v>
      </c>
      <c r="N45" s="105">
        <f t="shared" si="9"/>
        <v>24</v>
      </c>
      <c r="O45" s="107">
        <f t="shared" si="10"/>
        <v>33</v>
      </c>
      <c r="P45" s="24"/>
      <c r="Q45" s="80">
        <f t="shared" si="14"/>
        <v>34</v>
      </c>
      <c r="R45" s="81" t="s">
        <v>101</v>
      </c>
      <c r="S45" s="82">
        <f>'Data By State'!L44</f>
        <v>30.4</v>
      </c>
      <c r="T45" s="37"/>
      <c r="U45" s="57">
        <f t="shared" si="2"/>
        <v>39</v>
      </c>
      <c r="V45" s="81" t="s">
        <v>101</v>
      </c>
      <c r="W45" s="87">
        <f>'Data By State'!N44</f>
        <v>0.43236322376493447</v>
      </c>
      <c r="X45" s="33"/>
      <c r="Y45" s="80">
        <f t="shared" si="3"/>
        <v>31</v>
      </c>
      <c r="Z45" s="81" t="s">
        <v>101</v>
      </c>
      <c r="AA45" s="56">
        <f>'Data By State'!O44</f>
        <v>0.77777777777777779</v>
      </c>
      <c r="AB45" s="29"/>
      <c r="AC45" s="80">
        <f t="shared" si="11"/>
        <v>29</v>
      </c>
      <c r="AD45" s="81" t="s">
        <v>101</v>
      </c>
      <c r="AE45" s="56">
        <f>'Data By State'!P44</f>
        <v>0.23981417749981912</v>
      </c>
      <c r="AF45" s="29"/>
      <c r="AG45" s="80">
        <f t="shared" si="4"/>
        <v>24</v>
      </c>
      <c r="AH45" s="81" t="s">
        <v>101</v>
      </c>
      <c r="AI45" s="56">
        <f>'Data By State'!Q44</f>
        <v>0.16721885682762555</v>
      </c>
      <c r="AJ45" s="29"/>
      <c r="AK45" s="80">
        <f t="shared" si="12"/>
        <v>33</v>
      </c>
      <c r="AL45" s="81" t="s">
        <v>101</v>
      </c>
      <c r="AM45" s="56">
        <f>'Data By State'!R44</f>
        <v>0.34255591691831161</v>
      </c>
    </row>
    <row r="46" spans="1:39">
      <c r="A46" s="93" t="s">
        <v>102</v>
      </c>
      <c r="B46" s="66">
        <f t="shared" si="13"/>
        <v>23.2</v>
      </c>
      <c r="C46" s="64">
        <f>'Data By State'!N45</f>
        <v>0.21950685191383051</v>
      </c>
      <c r="D46" s="64">
        <f>'Data By State'!O45</f>
        <v>0.5</v>
      </c>
      <c r="E46" s="64">
        <f>'Data By State'!P45</f>
        <v>0.24732596822594655</v>
      </c>
      <c r="F46" s="64">
        <f>'Data By State'!Q45</f>
        <v>0.38924355824535106</v>
      </c>
      <c r="G46" s="115">
        <f>'Data By State'!R45</f>
        <v>0.4057484787174398</v>
      </c>
      <c r="H46" s="97"/>
      <c r="I46" s="93" t="s">
        <v>102</v>
      </c>
      <c r="J46" s="25">
        <f t="shared" si="5"/>
        <v>17</v>
      </c>
      <c r="K46" s="105">
        <f t="shared" si="6"/>
        <v>12</v>
      </c>
      <c r="L46" s="105">
        <f t="shared" si="7"/>
        <v>9</v>
      </c>
      <c r="M46" s="105">
        <f t="shared" si="8"/>
        <v>25</v>
      </c>
      <c r="N46" s="105">
        <f t="shared" si="9"/>
        <v>45</v>
      </c>
      <c r="O46" s="107">
        <f t="shared" si="10"/>
        <v>19</v>
      </c>
      <c r="P46" s="24"/>
      <c r="Q46" s="80">
        <f t="shared" si="14"/>
        <v>17</v>
      </c>
      <c r="R46" s="81" t="s">
        <v>102</v>
      </c>
      <c r="S46" s="82">
        <f>'Data By State'!L45</f>
        <v>23.2</v>
      </c>
      <c r="T46" s="37"/>
      <c r="U46" s="57">
        <f t="shared" si="2"/>
        <v>12</v>
      </c>
      <c r="V46" s="81" t="s">
        <v>102</v>
      </c>
      <c r="W46" s="87">
        <f>'Data By State'!N45</f>
        <v>0.21950685191383051</v>
      </c>
      <c r="X46" s="33"/>
      <c r="Y46" s="80">
        <f t="shared" si="3"/>
        <v>9</v>
      </c>
      <c r="Z46" s="81" t="s">
        <v>102</v>
      </c>
      <c r="AA46" s="56">
        <f>'Data By State'!O45</f>
        <v>0.5</v>
      </c>
      <c r="AB46" s="29"/>
      <c r="AC46" s="80">
        <f t="shared" si="11"/>
        <v>25</v>
      </c>
      <c r="AD46" s="81" t="s">
        <v>102</v>
      </c>
      <c r="AE46" s="56">
        <f>'Data By State'!P45</f>
        <v>0.24732596822594655</v>
      </c>
      <c r="AF46" s="29"/>
      <c r="AG46" s="80">
        <f t="shared" si="4"/>
        <v>45</v>
      </c>
      <c r="AH46" s="81" t="s">
        <v>102</v>
      </c>
      <c r="AI46" s="56">
        <f>'Data By State'!Q45</f>
        <v>0.38924355824535106</v>
      </c>
      <c r="AJ46" s="29"/>
      <c r="AK46" s="80">
        <f t="shared" si="12"/>
        <v>19</v>
      </c>
      <c r="AL46" s="81" t="s">
        <v>102</v>
      </c>
      <c r="AM46" s="56">
        <f>'Data By State'!R45</f>
        <v>0.4057484787174398</v>
      </c>
    </row>
    <row r="47" spans="1:39">
      <c r="A47" s="112" t="s">
        <v>103</v>
      </c>
      <c r="B47" s="113">
        <f t="shared" si="13"/>
        <v>33.200000000000003</v>
      </c>
      <c r="C47" s="114">
        <f>'Data By State'!N46</f>
        <v>0.44394502915615941</v>
      </c>
      <c r="D47" s="114">
        <f>'Data By State'!O46</f>
        <v>0.7142857142857143</v>
      </c>
      <c r="E47" s="114">
        <f>'Data By State'!P46</f>
        <v>0.22771864651350374</v>
      </c>
      <c r="F47" s="114">
        <f>'Data By State'!Q46</f>
        <v>0.20475771876901155</v>
      </c>
      <c r="G47" s="115">
        <f>'Data By State'!R46</f>
        <v>0.32258327414004595</v>
      </c>
      <c r="H47" s="97"/>
      <c r="I47" s="112" t="s">
        <v>103</v>
      </c>
      <c r="J47" s="116">
        <f t="shared" si="5"/>
        <v>41</v>
      </c>
      <c r="K47" s="117">
        <f t="shared" si="6"/>
        <v>42</v>
      </c>
      <c r="L47" s="117">
        <f t="shared" si="7"/>
        <v>24</v>
      </c>
      <c r="M47" s="117">
        <f t="shared" si="8"/>
        <v>35</v>
      </c>
      <c r="N47" s="117">
        <f t="shared" si="9"/>
        <v>30</v>
      </c>
      <c r="O47" s="118">
        <f t="shared" si="10"/>
        <v>37</v>
      </c>
      <c r="P47" s="24"/>
      <c r="Q47" s="119">
        <f t="shared" si="14"/>
        <v>41</v>
      </c>
      <c r="R47" s="120" t="s">
        <v>103</v>
      </c>
      <c r="S47" s="121">
        <f>'Data By State'!L46</f>
        <v>33.200000000000003</v>
      </c>
      <c r="T47" s="37"/>
      <c r="U47" s="122">
        <f t="shared" si="2"/>
        <v>42</v>
      </c>
      <c r="V47" s="120" t="s">
        <v>103</v>
      </c>
      <c r="W47" s="123">
        <f>'Data By State'!N46</f>
        <v>0.44394502915615941</v>
      </c>
      <c r="X47" s="33"/>
      <c r="Y47" s="119">
        <f t="shared" si="3"/>
        <v>24</v>
      </c>
      <c r="Z47" s="120" t="s">
        <v>103</v>
      </c>
      <c r="AA47" s="115">
        <f>'Data By State'!O46</f>
        <v>0.7142857142857143</v>
      </c>
      <c r="AB47" s="29"/>
      <c r="AC47" s="119">
        <f t="shared" si="11"/>
        <v>35</v>
      </c>
      <c r="AD47" s="120" t="s">
        <v>103</v>
      </c>
      <c r="AE47" s="115">
        <f>'Data By State'!P46</f>
        <v>0.22771864651350374</v>
      </c>
      <c r="AF47" s="29"/>
      <c r="AG47" s="119">
        <f t="shared" si="4"/>
        <v>30</v>
      </c>
      <c r="AH47" s="120" t="s">
        <v>103</v>
      </c>
      <c r="AI47" s="115">
        <f>'Data By State'!Q46</f>
        <v>0.20475771876901155</v>
      </c>
      <c r="AJ47" s="29"/>
      <c r="AK47" s="119">
        <f t="shared" si="12"/>
        <v>37</v>
      </c>
      <c r="AL47" s="120" t="s">
        <v>103</v>
      </c>
      <c r="AM47" s="115">
        <f>'Data By State'!R46</f>
        <v>0.32258327414004595</v>
      </c>
    </row>
    <row r="48" spans="1:39">
      <c r="A48" s="93" t="s">
        <v>104</v>
      </c>
      <c r="B48" s="66">
        <f t="shared" si="13"/>
        <v>25.2</v>
      </c>
      <c r="C48" s="64">
        <f>'Data By State'!N47</f>
        <v>0.33059253978191872</v>
      </c>
      <c r="D48" s="64">
        <f>'Data By State'!O47</f>
        <v>1</v>
      </c>
      <c r="E48" s="64">
        <f>'Data By State'!P47</f>
        <v>0.29270459658659381</v>
      </c>
      <c r="F48" s="64">
        <f>'Data By State'!Q47</f>
        <v>0.33470373010904064</v>
      </c>
      <c r="G48" s="115">
        <f>'Data By State'!R47</f>
        <v>0.43996127715336125</v>
      </c>
      <c r="H48" s="97"/>
      <c r="I48" s="93" t="s">
        <v>104</v>
      </c>
      <c r="J48" s="25">
        <f t="shared" si="5"/>
        <v>26</v>
      </c>
      <c r="K48" s="105">
        <f t="shared" si="6"/>
        <v>31</v>
      </c>
      <c r="L48" s="105">
        <f t="shared" si="7"/>
        <v>41</v>
      </c>
      <c r="M48" s="105">
        <f t="shared" si="8"/>
        <v>8</v>
      </c>
      <c r="N48" s="105">
        <f t="shared" si="9"/>
        <v>38</v>
      </c>
      <c r="O48" s="107">
        <f t="shared" si="10"/>
        <v>10</v>
      </c>
      <c r="P48" s="24"/>
      <c r="Q48" s="80">
        <f t="shared" si="14"/>
        <v>26</v>
      </c>
      <c r="R48" s="81" t="s">
        <v>104</v>
      </c>
      <c r="S48" s="82">
        <f>'Data By State'!L47</f>
        <v>25.2</v>
      </c>
      <c r="T48" s="37"/>
      <c r="U48" s="57">
        <f t="shared" si="2"/>
        <v>31</v>
      </c>
      <c r="V48" s="81" t="s">
        <v>104</v>
      </c>
      <c r="W48" s="87">
        <f>'Data By State'!N47</f>
        <v>0.33059253978191872</v>
      </c>
      <c r="X48" s="33"/>
      <c r="Y48" s="80">
        <f t="shared" si="3"/>
        <v>41</v>
      </c>
      <c r="Z48" s="81" t="s">
        <v>104</v>
      </c>
      <c r="AA48" s="56">
        <f>'Data By State'!O47</f>
        <v>1</v>
      </c>
      <c r="AB48" s="29"/>
      <c r="AC48" s="80">
        <f t="shared" si="11"/>
        <v>8</v>
      </c>
      <c r="AD48" s="81" t="s">
        <v>104</v>
      </c>
      <c r="AE48" s="56">
        <f>'Data By State'!P47</f>
        <v>0.29270459658659381</v>
      </c>
      <c r="AF48" s="29"/>
      <c r="AG48" s="80">
        <f t="shared" si="4"/>
        <v>38</v>
      </c>
      <c r="AH48" s="81" t="s">
        <v>104</v>
      </c>
      <c r="AI48" s="56">
        <f>'Data By State'!Q47</f>
        <v>0.33470373010904064</v>
      </c>
      <c r="AJ48" s="29"/>
      <c r="AK48" s="80">
        <f t="shared" si="12"/>
        <v>10</v>
      </c>
      <c r="AL48" s="81" t="s">
        <v>104</v>
      </c>
      <c r="AM48" s="56">
        <f>'Data By State'!R47</f>
        <v>0.43996127715336125</v>
      </c>
    </row>
    <row r="49" spans="1:39">
      <c r="A49" s="93" t="s">
        <v>105</v>
      </c>
      <c r="B49" s="66">
        <f t="shared" si="13"/>
        <v>35.200000000000003</v>
      </c>
      <c r="C49" s="64">
        <f>'Data By State'!N48</f>
        <v>0.43592747473927973</v>
      </c>
      <c r="D49" s="64">
        <f>'Data By State'!O48</f>
        <v>1</v>
      </c>
      <c r="E49" s="64">
        <f>'Data By State'!P48</f>
        <v>0.19750698411556744</v>
      </c>
      <c r="F49" s="64">
        <f>'Data By State'!Q48</f>
        <v>0.13176100804760024</v>
      </c>
      <c r="G49" s="115">
        <f>'Data By State'!R48</f>
        <v>0.28503153167854295</v>
      </c>
      <c r="H49" s="97"/>
      <c r="I49" s="93" t="s">
        <v>105</v>
      </c>
      <c r="J49" s="25">
        <f t="shared" si="5"/>
        <v>43</v>
      </c>
      <c r="K49" s="105">
        <f t="shared" si="6"/>
        <v>40</v>
      </c>
      <c r="L49" s="105">
        <f t="shared" si="7"/>
        <v>41</v>
      </c>
      <c r="M49" s="105">
        <f t="shared" si="8"/>
        <v>40</v>
      </c>
      <c r="N49" s="105">
        <f t="shared" si="9"/>
        <v>15</v>
      </c>
      <c r="O49" s="107">
        <f t="shared" si="10"/>
        <v>46</v>
      </c>
      <c r="P49" s="24"/>
      <c r="Q49" s="80">
        <f t="shared" si="14"/>
        <v>43</v>
      </c>
      <c r="R49" s="81" t="s">
        <v>105</v>
      </c>
      <c r="S49" s="82">
        <f>'Data By State'!L48</f>
        <v>35.200000000000003</v>
      </c>
      <c r="T49" s="37"/>
      <c r="U49" s="57">
        <f t="shared" si="2"/>
        <v>40</v>
      </c>
      <c r="V49" s="81" t="s">
        <v>105</v>
      </c>
      <c r="W49" s="87">
        <f>'Data By State'!N48</f>
        <v>0.43592747473927973</v>
      </c>
      <c r="X49" s="33"/>
      <c r="Y49" s="80">
        <f t="shared" si="3"/>
        <v>41</v>
      </c>
      <c r="Z49" s="81" t="s">
        <v>105</v>
      </c>
      <c r="AA49" s="56">
        <f>'Data By State'!O48</f>
        <v>1</v>
      </c>
      <c r="AB49" s="29"/>
      <c r="AC49" s="80">
        <f t="shared" si="11"/>
        <v>40</v>
      </c>
      <c r="AD49" s="81" t="s">
        <v>105</v>
      </c>
      <c r="AE49" s="56">
        <f>'Data By State'!P48</f>
        <v>0.19750698411556744</v>
      </c>
      <c r="AF49" s="29"/>
      <c r="AG49" s="80">
        <f t="shared" si="4"/>
        <v>15</v>
      </c>
      <c r="AH49" s="81" t="s">
        <v>105</v>
      </c>
      <c r="AI49" s="56">
        <f>'Data By State'!Q48</f>
        <v>0.13176100804760024</v>
      </c>
      <c r="AJ49" s="29"/>
      <c r="AK49" s="80">
        <f t="shared" si="12"/>
        <v>46</v>
      </c>
      <c r="AL49" s="81" t="s">
        <v>105</v>
      </c>
      <c r="AM49" s="56">
        <f>'Data By State'!R48</f>
        <v>0.28503153167854295</v>
      </c>
    </row>
    <row r="50" spans="1:39">
      <c r="A50" s="93" t="s">
        <v>106</v>
      </c>
      <c r="B50" s="66">
        <f t="shared" si="13"/>
        <v>35.200000000000003</v>
      </c>
      <c r="C50" s="64">
        <f>'Data By State'!N49</f>
        <v>0.48374390840161474</v>
      </c>
      <c r="D50" s="64">
        <f>'Data By State'!O49</f>
        <v>0.94444444444444442</v>
      </c>
      <c r="E50" s="64">
        <f>'Data By State'!P49</f>
        <v>0.19193684086705073</v>
      </c>
      <c r="F50" s="64">
        <f>'Data By State'!Q49</f>
        <v>5.8579944767184006E-2</v>
      </c>
      <c r="G50" s="115">
        <f>'Data By State'!R49</f>
        <v>0.26694652497246152</v>
      </c>
      <c r="H50" s="97"/>
      <c r="I50" s="93" t="s">
        <v>106</v>
      </c>
      <c r="J50" s="25">
        <f t="shared" si="5"/>
        <v>43</v>
      </c>
      <c r="K50" s="105">
        <f t="shared" si="6"/>
        <v>45</v>
      </c>
      <c r="L50" s="105">
        <f t="shared" si="7"/>
        <v>40</v>
      </c>
      <c r="M50" s="105">
        <f t="shared" si="8"/>
        <v>42</v>
      </c>
      <c r="N50" s="105">
        <f t="shared" si="9"/>
        <v>7</v>
      </c>
      <c r="O50" s="107">
        <f t="shared" si="10"/>
        <v>49</v>
      </c>
      <c r="P50" s="24"/>
      <c r="Q50" s="80">
        <f t="shared" si="14"/>
        <v>43</v>
      </c>
      <c r="R50" s="81" t="s">
        <v>106</v>
      </c>
      <c r="S50" s="82">
        <f>'Data By State'!L49</f>
        <v>35.200000000000003</v>
      </c>
      <c r="T50" s="37"/>
      <c r="U50" s="57">
        <f t="shared" si="2"/>
        <v>45</v>
      </c>
      <c r="V50" s="81" t="s">
        <v>106</v>
      </c>
      <c r="W50" s="87">
        <f>'Data By State'!N49</f>
        <v>0.48374390840161474</v>
      </c>
      <c r="X50" s="33"/>
      <c r="Y50" s="80">
        <f t="shared" si="3"/>
        <v>40</v>
      </c>
      <c r="Z50" s="81" t="s">
        <v>106</v>
      </c>
      <c r="AA50" s="56">
        <f>'Data By State'!O49</f>
        <v>0.94444444444444442</v>
      </c>
      <c r="AB50" s="29"/>
      <c r="AC50" s="80">
        <f t="shared" si="11"/>
        <v>42</v>
      </c>
      <c r="AD50" s="81" t="s">
        <v>106</v>
      </c>
      <c r="AE50" s="56">
        <f>'Data By State'!P49</f>
        <v>0.19193684086705073</v>
      </c>
      <c r="AF50" s="29"/>
      <c r="AG50" s="80">
        <f t="shared" si="4"/>
        <v>7</v>
      </c>
      <c r="AH50" s="81" t="s">
        <v>106</v>
      </c>
      <c r="AI50" s="56">
        <f>'Data By State'!Q49</f>
        <v>5.8579944767184006E-2</v>
      </c>
      <c r="AJ50" s="29"/>
      <c r="AK50" s="80">
        <f t="shared" si="12"/>
        <v>49</v>
      </c>
      <c r="AL50" s="81" t="s">
        <v>106</v>
      </c>
      <c r="AM50" s="56">
        <f>'Data By State'!R49</f>
        <v>0.26694652497246152</v>
      </c>
    </row>
    <row r="51" spans="1:39">
      <c r="A51" s="93" t="s">
        <v>107</v>
      </c>
      <c r="B51" s="66">
        <f t="shared" si="13"/>
        <v>36.4</v>
      </c>
      <c r="C51" s="64">
        <f>'Data By State'!N50</f>
        <v>0.30017180143307054</v>
      </c>
      <c r="D51" s="64">
        <f>'Data By State'!O50</f>
        <v>0.75</v>
      </c>
      <c r="E51" s="64">
        <f>'Data By State'!P50</f>
        <v>0.18360267835194113</v>
      </c>
      <c r="F51" s="64">
        <f>'Data By State'!Q50</f>
        <v>0.35167515368707325</v>
      </c>
      <c r="G51" s="115">
        <f>'Data By State'!R50</f>
        <v>0.29540117222355305</v>
      </c>
      <c r="H51" s="97"/>
      <c r="I51" s="93" t="s">
        <v>107</v>
      </c>
      <c r="J51" s="25">
        <f t="shared" si="5"/>
        <v>48</v>
      </c>
      <c r="K51" s="105">
        <f t="shared" si="6"/>
        <v>25</v>
      </c>
      <c r="L51" s="105">
        <f t="shared" si="7"/>
        <v>26</v>
      </c>
      <c r="M51" s="105">
        <f t="shared" si="8"/>
        <v>45</v>
      </c>
      <c r="N51" s="105">
        <f t="shared" si="9"/>
        <v>41</v>
      </c>
      <c r="O51" s="107">
        <f t="shared" si="10"/>
        <v>42</v>
      </c>
      <c r="P51" s="24"/>
      <c r="Q51" s="80">
        <f t="shared" si="14"/>
        <v>48</v>
      </c>
      <c r="R51" s="81" t="s">
        <v>107</v>
      </c>
      <c r="S51" s="82">
        <f>'Data By State'!L50</f>
        <v>36.4</v>
      </c>
      <c r="T51" s="37"/>
      <c r="U51" s="57">
        <f t="shared" si="2"/>
        <v>25</v>
      </c>
      <c r="V51" s="81" t="s">
        <v>107</v>
      </c>
      <c r="W51" s="87">
        <f>'Data By State'!N50</f>
        <v>0.30017180143307054</v>
      </c>
      <c r="X51" s="33"/>
      <c r="Y51" s="80">
        <f t="shared" si="3"/>
        <v>26</v>
      </c>
      <c r="Z51" s="81" t="s">
        <v>107</v>
      </c>
      <c r="AA51" s="56">
        <f>'Data By State'!O50</f>
        <v>0.75</v>
      </c>
      <c r="AB51" s="29"/>
      <c r="AC51" s="80">
        <f t="shared" si="11"/>
        <v>45</v>
      </c>
      <c r="AD51" s="81" t="s">
        <v>107</v>
      </c>
      <c r="AE51" s="56">
        <f>'Data By State'!P50</f>
        <v>0.18360267835194113</v>
      </c>
      <c r="AF51" s="29"/>
      <c r="AG51" s="80">
        <f t="shared" si="4"/>
        <v>41</v>
      </c>
      <c r="AH51" s="81" t="s">
        <v>107</v>
      </c>
      <c r="AI51" s="56">
        <f>'Data By State'!Q50</f>
        <v>0.35167515368707325</v>
      </c>
      <c r="AJ51" s="29"/>
      <c r="AK51" s="80">
        <f t="shared" si="12"/>
        <v>42</v>
      </c>
      <c r="AL51" s="81" t="s">
        <v>107</v>
      </c>
      <c r="AM51" s="56">
        <f>'Data By State'!R50</f>
        <v>0.29540117222355305</v>
      </c>
    </row>
    <row r="52" spans="1:39">
      <c r="A52" s="112" t="s">
        <v>108</v>
      </c>
      <c r="B52" s="182">
        <f t="shared" si="13"/>
        <v>31.2</v>
      </c>
      <c r="C52" s="183">
        <f>'Data By State'!N51</f>
        <v>0.33376326343052892</v>
      </c>
      <c r="D52" s="183">
        <f>'Data By State'!O51</f>
        <v>1</v>
      </c>
      <c r="E52" s="183">
        <f>'Data By State'!P51</f>
        <v>0.24799351813875686</v>
      </c>
      <c r="F52" s="183">
        <f>'Data By State'!Q51</f>
        <v>0.33311836828473551</v>
      </c>
      <c r="G52" s="115">
        <f>'Data By State'!R51</f>
        <v>0.38501934103758034</v>
      </c>
      <c r="H52" s="185"/>
      <c r="I52" s="112" t="s">
        <v>108</v>
      </c>
      <c r="J52" s="179">
        <f t="shared" si="5"/>
        <v>37</v>
      </c>
      <c r="K52" s="180">
        <f t="shared" si="6"/>
        <v>32</v>
      </c>
      <c r="L52" s="180">
        <f t="shared" si="7"/>
        <v>41</v>
      </c>
      <c r="M52" s="180">
        <f t="shared" si="8"/>
        <v>23</v>
      </c>
      <c r="N52" s="180">
        <f t="shared" si="9"/>
        <v>37</v>
      </c>
      <c r="O52" s="181">
        <f t="shared" si="10"/>
        <v>25</v>
      </c>
      <c r="P52" s="177"/>
      <c r="Q52" s="186">
        <f t="shared" si="14"/>
        <v>37</v>
      </c>
      <c r="R52" s="120" t="s">
        <v>108</v>
      </c>
      <c r="S52" s="187">
        <f>'Data By State'!L51</f>
        <v>31.2</v>
      </c>
      <c r="T52" s="188"/>
      <c r="U52" s="189">
        <f t="shared" si="2"/>
        <v>32</v>
      </c>
      <c r="V52" s="120" t="s">
        <v>108</v>
      </c>
      <c r="W52" s="190">
        <f>'Data By State'!N51</f>
        <v>0.33376326343052892</v>
      </c>
      <c r="X52" s="172"/>
      <c r="Y52" s="186">
        <f t="shared" si="3"/>
        <v>41</v>
      </c>
      <c r="Z52" s="120" t="s">
        <v>108</v>
      </c>
      <c r="AA52" s="184">
        <f>'Data By State'!O51</f>
        <v>1</v>
      </c>
      <c r="AB52" s="173"/>
      <c r="AC52" s="186">
        <f t="shared" si="11"/>
        <v>23</v>
      </c>
      <c r="AD52" s="120" t="s">
        <v>108</v>
      </c>
      <c r="AE52" s="184">
        <f>'Data By State'!P51</f>
        <v>0.24799351813875686</v>
      </c>
      <c r="AF52" s="173"/>
      <c r="AG52" s="186">
        <f t="shared" si="4"/>
        <v>37</v>
      </c>
      <c r="AH52" s="120" t="s">
        <v>108</v>
      </c>
      <c r="AI52" s="184">
        <f>'Data By State'!Q51</f>
        <v>0.33311836828473551</v>
      </c>
      <c r="AJ52" s="173"/>
      <c r="AK52" s="186">
        <f t="shared" si="12"/>
        <v>25</v>
      </c>
      <c r="AL52" s="120" t="s">
        <v>108</v>
      </c>
      <c r="AM52" s="184">
        <f>'Data By State'!R51</f>
        <v>0.38501934103758034</v>
      </c>
    </row>
    <row r="53" spans="1:39">
      <c r="A53" s="93" t="s">
        <v>109</v>
      </c>
      <c r="B53" s="66">
        <f t="shared" si="13"/>
        <v>29.2</v>
      </c>
      <c r="C53" s="64">
        <f>'Data By State'!N52</f>
        <v>0.33428913275858219</v>
      </c>
      <c r="D53" s="64">
        <f>'Data By State'!O52</f>
        <v>0.72727272727272729</v>
      </c>
      <c r="E53" s="64">
        <f>'Data By State'!P52</f>
        <v>0.23019018557582621</v>
      </c>
      <c r="F53" s="64">
        <f>'Data By State'!Q52</f>
        <v>0.15753927611222807</v>
      </c>
      <c r="G53" s="115">
        <f>'Data By State'!R52</f>
        <v>0.35664279952098688</v>
      </c>
      <c r="H53" s="97"/>
      <c r="I53" s="93" t="s">
        <v>109</v>
      </c>
      <c r="J53" s="25">
        <f t="shared" si="5"/>
        <v>32</v>
      </c>
      <c r="K53" s="105">
        <f t="shared" si="6"/>
        <v>33</v>
      </c>
      <c r="L53" s="105">
        <f t="shared" si="7"/>
        <v>25</v>
      </c>
      <c r="M53" s="105">
        <f t="shared" si="8"/>
        <v>34</v>
      </c>
      <c r="N53" s="105">
        <f t="shared" si="9"/>
        <v>20</v>
      </c>
      <c r="O53" s="107">
        <f t="shared" si="10"/>
        <v>29</v>
      </c>
      <c r="P53" s="24"/>
      <c r="Q53" s="80">
        <f t="shared" si="14"/>
        <v>32</v>
      </c>
      <c r="R53" s="81" t="s">
        <v>109</v>
      </c>
      <c r="S53" s="82">
        <f>'Data By State'!L52</f>
        <v>29.2</v>
      </c>
      <c r="T53" s="37"/>
      <c r="U53" s="57">
        <f t="shared" si="2"/>
        <v>33</v>
      </c>
      <c r="V53" s="81" t="s">
        <v>109</v>
      </c>
      <c r="W53" s="87">
        <f>'Data By State'!N52</f>
        <v>0.33428913275858219</v>
      </c>
      <c r="X53" s="33"/>
      <c r="Y53" s="80">
        <f t="shared" si="3"/>
        <v>25</v>
      </c>
      <c r="Z53" s="81" t="s">
        <v>109</v>
      </c>
      <c r="AA53" s="56">
        <f>'Data By State'!O52</f>
        <v>0.72727272727272729</v>
      </c>
      <c r="AB53" s="29"/>
      <c r="AC53" s="80">
        <f t="shared" si="11"/>
        <v>34</v>
      </c>
      <c r="AD53" s="81" t="s">
        <v>109</v>
      </c>
      <c r="AE53" s="56">
        <f>'Data By State'!P52</f>
        <v>0.23019018557582621</v>
      </c>
      <c r="AF53" s="29"/>
      <c r="AG53" s="80">
        <f t="shared" si="4"/>
        <v>20</v>
      </c>
      <c r="AH53" s="81" t="s">
        <v>109</v>
      </c>
      <c r="AI53" s="56">
        <f>'Data By State'!Q52</f>
        <v>0.15753927611222807</v>
      </c>
      <c r="AJ53" s="29"/>
      <c r="AK53" s="80">
        <f t="shared" si="12"/>
        <v>29</v>
      </c>
      <c r="AL53" s="81" t="s">
        <v>109</v>
      </c>
      <c r="AM53" s="56">
        <f>'Data By State'!R52</f>
        <v>0.35664279952098688</v>
      </c>
    </row>
    <row r="54" spans="1:39">
      <c r="A54" s="93" t="s">
        <v>110</v>
      </c>
      <c r="B54" s="66">
        <f t="shared" si="13"/>
        <v>17</v>
      </c>
      <c r="C54" s="64">
        <f>'Data By State'!N53</f>
        <v>0.24276665166784978</v>
      </c>
      <c r="D54" s="64">
        <f>'Data By State'!O53</f>
        <v>0.7</v>
      </c>
      <c r="E54" s="64">
        <f>'Data By State'!P53</f>
        <v>0.25834913761692851</v>
      </c>
      <c r="F54" s="64">
        <f>'Data By State'!Q53</f>
        <v>8.3766752069373229E-2</v>
      </c>
      <c r="G54" s="115">
        <f>'Data By State'!R53</f>
        <v>0.41198382512853687</v>
      </c>
      <c r="H54" s="97"/>
      <c r="I54" s="93" t="s">
        <v>110</v>
      </c>
      <c r="J54" s="25">
        <f t="shared" si="5"/>
        <v>10</v>
      </c>
      <c r="K54" s="105">
        <f t="shared" si="6"/>
        <v>15</v>
      </c>
      <c r="L54" s="105">
        <f t="shared" si="7"/>
        <v>22</v>
      </c>
      <c r="M54" s="105">
        <f t="shared" si="8"/>
        <v>19</v>
      </c>
      <c r="N54" s="105">
        <f t="shared" si="9"/>
        <v>10</v>
      </c>
      <c r="O54" s="107">
        <f t="shared" si="10"/>
        <v>17</v>
      </c>
      <c r="P54" s="24"/>
      <c r="Q54" s="80">
        <f t="shared" si="14"/>
        <v>10</v>
      </c>
      <c r="R54" s="81" t="s">
        <v>110</v>
      </c>
      <c r="S54" s="82">
        <f>'Data By State'!L53</f>
        <v>17</v>
      </c>
      <c r="T54" s="37"/>
      <c r="U54" s="57">
        <f t="shared" si="2"/>
        <v>15</v>
      </c>
      <c r="V54" s="81" t="s">
        <v>110</v>
      </c>
      <c r="W54" s="87">
        <f>'Data By State'!N53</f>
        <v>0.24276665166784978</v>
      </c>
      <c r="X54" s="33"/>
      <c r="Y54" s="80">
        <f t="shared" si="3"/>
        <v>22</v>
      </c>
      <c r="Z54" s="81" t="s">
        <v>110</v>
      </c>
      <c r="AA54" s="56">
        <f>'Data By State'!O53</f>
        <v>0.7</v>
      </c>
      <c r="AB54" s="29"/>
      <c r="AC54" s="80">
        <f t="shared" si="11"/>
        <v>19</v>
      </c>
      <c r="AD54" s="81" t="s">
        <v>110</v>
      </c>
      <c r="AE54" s="56">
        <f>'Data By State'!P53</f>
        <v>0.25834913761692851</v>
      </c>
      <c r="AF54" s="29"/>
      <c r="AG54" s="80">
        <f t="shared" si="4"/>
        <v>10</v>
      </c>
      <c r="AH54" s="81" t="s">
        <v>110</v>
      </c>
      <c r="AI54" s="56">
        <f>'Data By State'!Q53</f>
        <v>8.3766752069373229E-2</v>
      </c>
      <c r="AJ54" s="29"/>
      <c r="AK54" s="80">
        <f t="shared" si="12"/>
        <v>17</v>
      </c>
      <c r="AL54" s="81" t="s">
        <v>110</v>
      </c>
      <c r="AM54" s="56">
        <f>'Data By State'!R53</f>
        <v>0.41198382512853687</v>
      </c>
    </row>
    <row r="55" spans="1:39">
      <c r="A55" s="93" t="s">
        <v>111</v>
      </c>
      <c r="B55" s="66">
        <f t="shared" si="13"/>
        <v>31.4</v>
      </c>
      <c r="C55" s="64">
        <f>'Data By State'!N54</f>
        <v>0.1387447683108827</v>
      </c>
      <c r="D55" s="64">
        <f>'Data By State'!O54</f>
        <v>0.33333333333333331</v>
      </c>
      <c r="E55" s="64">
        <f>'Data By State'!P54</f>
        <v>0.16646325973868192</v>
      </c>
      <c r="F55" s="64">
        <f>'Data By State'!Q54</f>
        <v>0.43163374253650982</v>
      </c>
      <c r="G55" s="115">
        <f>'Data By State'!R54</f>
        <v>0.30128477706232537</v>
      </c>
      <c r="H55" s="97"/>
      <c r="I55" s="93" t="s">
        <v>111</v>
      </c>
      <c r="J55" s="25">
        <f t="shared" si="5"/>
        <v>38</v>
      </c>
      <c r="K55" s="105">
        <f t="shared" si="6"/>
        <v>4</v>
      </c>
      <c r="L55" s="105">
        <f t="shared" si="7"/>
        <v>6</v>
      </c>
      <c r="M55" s="105">
        <f t="shared" si="8"/>
        <v>49</v>
      </c>
      <c r="N55" s="105">
        <f t="shared" si="9"/>
        <v>49</v>
      </c>
      <c r="O55" s="107">
        <f t="shared" si="10"/>
        <v>41</v>
      </c>
      <c r="P55" s="24"/>
      <c r="Q55" s="80">
        <f t="shared" si="14"/>
        <v>38</v>
      </c>
      <c r="R55" s="81" t="s">
        <v>111</v>
      </c>
      <c r="S55" s="82">
        <f>'Data By State'!L54</f>
        <v>31.4</v>
      </c>
      <c r="T55" s="37"/>
      <c r="U55" s="57">
        <f t="shared" si="2"/>
        <v>4</v>
      </c>
      <c r="V55" s="81" t="s">
        <v>111</v>
      </c>
      <c r="W55" s="87">
        <f>'Data By State'!N54</f>
        <v>0.1387447683108827</v>
      </c>
      <c r="X55" s="33"/>
      <c r="Y55" s="80">
        <f t="shared" si="3"/>
        <v>6</v>
      </c>
      <c r="Z55" s="81" t="s">
        <v>111</v>
      </c>
      <c r="AA55" s="56">
        <f>'Data By State'!O54</f>
        <v>0.33333333333333331</v>
      </c>
      <c r="AB55" s="29"/>
      <c r="AC55" s="80">
        <f t="shared" si="11"/>
        <v>49</v>
      </c>
      <c r="AD55" s="81" t="s">
        <v>111</v>
      </c>
      <c r="AE55" s="56">
        <f>'Data By State'!P54</f>
        <v>0.16646325973868192</v>
      </c>
      <c r="AF55" s="29"/>
      <c r="AG55" s="80">
        <f t="shared" si="4"/>
        <v>49</v>
      </c>
      <c r="AH55" s="81" t="s">
        <v>111</v>
      </c>
      <c r="AI55" s="56">
        <f>'Data By State'!Q54</f>
        <v>0.43163374253650982</v>
      </c>
      <c r="AJ55" s="29"/>
      <c r="AK55" s="80">
        <f t="shared" si="12"/>
        <v>41</v>
      </c>
      <c r="AL55" s="81" t="s">
        <v>111</v>
      </c>
      <c r="AM55" s="56">
        <f>'Data By State'!R54</f>
        <v>0.30128477706232537</v>
      </c>
    </row>
    <row r="56" spans="1:39">
      <c r="A56" s="93" t="s">
        <v>112</v>
      </c>
      <c r="B56" s="66">
        <f t="shared" si="13"/>
        <v>10.4</v>
      </c>
      <c r="C56" s="64">
        <f>'Data By State'!N55</f>
        <v>0.28100903025751783</v>
      </c>
      <c r="D56" s="64">
        <f>'Data By State'!O55</f>
        <v>0.625</v>
      </c>
      <c r="E56" s="64">
        <f>'Data By State'!P55</f>
        <v>0.35192360850766918</v>
      </c>
      <c r="F56" s="64">
        <f>'Data By State'!Q55</f>
        <v>9.7245688959831544E-2</v>
      </c>
      <c r="G56" s="115">
        <f>'Data By State'!R55</f>
        <v>0.55228059168331889</v>
      </c>
      <c r="H56" s="97"/>
      <c r="I56" s="93" t="s">
        <v>112</v>
      </c>
      <c r="J56" s="25">
        <f t="shared" si="5"/>
        <v>5</v>
      </c>
      <c r="K56" s="105">
        <f t="shared" si="6"/>
        <v>21</v>
      </c>
      <c r="L56" s="105">
        <f t="shared" si="7"/>
        <v>18</v>
      </c>
      <c r="M56" s="105">
        <f t="shared" si="8"/>
        <v>1</v>
      </c>
      <c r="N56" s="105">
        <f t="shared" si="9"/>
        <v>11</v>
      </c>
      <c r="O56" s="107">
        <f t="shared" si="10"/>
        <v>2</v>
      </c>
      <c r="P56" s="24"/>
      <c r="Q56" s="80">
        <f t="shared" si="14"/>
        <v>5</v>
      </c>
      <c r="R56" s="81" t="s">
        <v>112</v>
      </c>
      <c r="S56" s="82">
        <f>'Data By State'!L55</f>
        <v>10.4</v>
      </c>
      <c r="T56" s="37"/>
      <c r="U56" s="57">
        <f t="shared" si="2"/>
        <v>21</v>
      </c>
      <c r="V56" s="81" t="s">
        <v>112</v>
      </c>
      <c r="W56" s="87">
        <f>'Data By State'!N55</f>
        <v>0.28100903025751783</v>
      </c>
      <c r="X56" s="33"/>
      <c r="Y56" s="80">
        <f t="shared" si="3"/>
        <v>18</v>
      </c>
      <c r="Z56" s="81" t="s">
        <v>112</v>
      </c>
      <c r="AA56" s="56">
        <f>'Data By State'!O55</f>
        <v>0.625</v>
      </c>
      <c r="AB56" s="29"/>
      <c r="AC56" s="80">
        <f t="shared" si="11"/>
        <v>1</v>
      </c>
      <c r="AD56" s="81" t="s">
        <v>112</v>
      </c>
      <c r="AE56" s="56">
        <f>'Data By State'!P55</f>
        <v>0.35192360850766918</v>
      </c>
      <c r="AF56" s="29"/>
      <c r="AG56" s="80">
        <f t="shared" si="4"/>
        <v>11</v>
      </c>
      <c r="AH56" s="81" t="s">
        <v>112</v>
      </c>
      <c r="AI56" s="56">
        <f>'Data By State'!Q55</f>
        <v>9.7245688959831544E-2</v>
      </c>
      <c r="AJ56" s="29"/>
      <c r="AK56" s="80">
        <f t="shared" si="12"/>
        <v>2</v>
      </c>
      <c r="AL56" s="81" t="s">
        <v>112</v>
      </c>
      <c r="AM56" s="56">
        <f>'Data By State'!R55</f>
        <v>0.55228059168331889</v>
      </c>
    </row>
    <row r="57" spans="1:39" ht="16.5" thickBot="1">
      <c r="A57" s="93" t="s">
        <v>113</v>
      </c>
      <c r="B57" s="66">
        <f t="shared" si="13"/>
        <v>30.4</v>
      </c>
      <c r="C57" s="64">
        <f>'Data By State'!N56</f>
        <v>0.45569351907934585</v>
      </c>
      <c r="D57" s="64">
        <f>'Data By State'!O56</f>
        <v>1</v>
      </c>
      <c r="E57" s="64">
        <f>'Data By State'!P56</f>
        <v>0.2597959563597585</v>
      </c>
      <c r="F57" s="64">
        <f>'Data By State'!Q56</f>
        <v>0.27215324046032707</v>
      </c>
      <c r="G57" s="115">
        <f>'Data By State'!R56</f>
        <v>0.37945038301275791</v>
      </c>
      <c r="H57" s="97"/>
      <c r="I57" s="93" t="s">
        <v>113</v>
      </c>
      <c r="J57" s="25">
        <f t="shared" si="5"/>
        <v>34</v>
      </c>
      <c r="K57" s="105">
        <f t="shared" si="6"/>
        <v>43</v>
      </c>
      <c r="L57" s="105">
        <f t="shared" si="7"/>
        <v>41</v>
      </c>
      <c r="M57" s="105">
        <f t="shared" si="8"/>
        <v>17</v>
      </c>
      <c r="N57" s="105">
        <f t="shared" si="9"/>
        <v>34</v>
      </c>
      <c r="O57" s="107">
        <f t="shared" si="10"/>
        <v>26</v>
      </c>
      <c r="P57" s="24"/>
      <c r="Q57" s="80">
        <f t="shared" si="14"/>
        <v>34</v>
      </c>
      <c r="R57" s="81" t="s">
        <v>113</v>
      </c>
      <c r="S57" s="82">
        <f>'Data By State'!L56</f>
        <v>30.4</v>
      </c>
      <c r="T57" s="37"/>
      <c r="U57" s="57">
        <f t="shared" si="2"/>
        <v>43</v>
      </c>
      <c r="V57" s="88" t="s">
        <v>113</v>
      </c>
      <c r="W57" s="87">
        <f>'Data By State'!N56</f>
        <v>0.45569351907934585</v>
      </c>
      <c r="X57" s="33"/>
      <c r="Y57" s="80">
        <f t="shared" si="3"/>
        <v>41</v>
      </c>
      <c r="Z57" s="81" t="s">
        <v>113</v>
      </c>
      <c r="AA57" s="56">
        <f>'Data By State'!O56</f>
        <v>1</v>
      </c>
      <c r="AB57" s="29"/>
      <c r="AC57" s="80">
        <f t="shared" si="11"/>
        <v>17</v>
      </c>
      <c r="AD57" s="81" t="s">
        <v>113</v>
      </c>
      <c r="AE57" s="56">
        <f>'Data By State'!P56</f>
        <v>0.2597959563597585</v>
      </c>
      <c r="AF57" s="29"/>
      <c r="AG57" s="80">
        <f t="shared" si="4"/>
        <v>34</v>
      </c>
      <c r="AH57" s="81" t="s">
        <v>113</v>
      </c>
      <c r="AI57" s="56">
        <f>'Data By State'!Q56</f>
        <v>0.27215324046032707</v>
      </c>
      <c r="AJ57" s="29"/>
      <c r="AK57" s="80">
        <f t="shared" si="12"/>
        <v>26</v>
      </c>
      <c r="AL57" s="81" t="s">
        <v>113</v>
      </c>
      <c r="AM57" s="56">
        <f>'Data By State'!R56</f>
        <v>0.37945038301275791</v>
      </c>
    </row>
    <row r="58" spans="1:39" ht="16.5" thickBot="1">
      <c r="A58" s="53" t="s">
        <v>119</v>
      </c>
      <c r="B58" s="95" t="str">
        <f t="shared" si="13"/>
        <v>n/a</v>
      </c>
      <c r="C58" s="96">
        <f>'Data By State'!N57</f>
        <v>0.31993747969576458</v>
      </c>
      <c r="D58" s="96">
        <f>'Data By State'!O57</f>
        <v>0.73103448275862071</v>
      </c>
      <c r="E58" s="96">
        <f>'Data By State'!P57</f>
        <v>0.24900879763490816</v>
      </c>
      <c r="F58" s="96">
        <f>'Data By State'!Q57</f>
        <v>3.9180510094093679E-2</v>
      </c>
      <c r="G58" s="344">
        <f>'Data By State'!R57</f>
        <v>0.38153877504964667</v>
      </c>
      <c r="H58" s="99"/>
      <c r="I58" s="53" t="s">
        <v>119</v>
      </c>
      <c r="J58" s="108"/>
      <c r="K58" s="109"/>
      <c r="L58" s="109"/>
      <c r="M58" s="109"/>
      <c r="N58" s="109"/>
      <c r="O58" s="110"/>
      <c r="P58" s="111"/>
      <c r="Q58" s="83" t="s">
        <v>195</v>
      </c>
      <c r="R58" s="79" t="s">
        <v>207</v>
      </c>
      <c r="S58" s="40" t="s">
        <v>208</v>
      </c>
      <c r="T58" s="104"/>
      <c r="U58" s="101" t="s">
        <v>195</v>
      </c>
      <c r="V58" s="79" t="s">
        <v>207</v>
      </c>
      <c r="W58" s="86">
        <f>'Data By State'!N57</f>
        <v>0.31993747969576458</v>
      </c>
      <c r="X58" s="62"/>
      <c r="Y58" s="83" t="s">
        <v>195</v>
      </c>
      <c r="Z58" s="79" t="s">
        <v>207</v>
      </c>
      <c r="AA58" s="40">
        <f>'Data By State'!O57</f>
        <v>0.73103448275862071</v>
      </c>
      <c r="AB58" s="61"/>
      <c r="AC58" s="83" t="s">
        <v>195</v>
      </c>
      <c r="AD58" s="79" t="s">
        <v>207</v>
      </c>
      <c r="AE58" s="40">
        <f>'Data By State'!P57</f>
        <v>0.24900879763490816</v>
      </c>
      <c r="AF58" s="63"/>
      <c r="AG58" s="83" t="s">
        <v>195</v>
      </c>
      <c r="AH58" s="79" t="s">
        <v>207</v>
      </c>
      <c r="AI58" s="40">
        <v>2.2639920668159674E-2</v>
      </c>
      <c r="AJ58" s="61"/>
      <c r="AK58" s="83" t="s">
        <v>195</v>
      </c>
      <c r="AL58" s="79" t="s">
        <v>207</v>
      </c>
      <c r="AM58" s="40">
        <f>'Data By State'!R57</f>
        <v>0.38153877504964667</v>
      </c>
    </row>
    <row r="60" spans="1:39">
      <c r="A60" s="8"/>
    </row>
  </sheetData>
  <phoneticPr fontId="0" type="noConversion"/>
  <pageMargins left="0.75" right="0.75" top="1" bottom="0.5" header="0.5" footer="0.5"/>
  <pageSetup scale="61" fitToWidth="0" orientation="landscape" r:id="rId1"/>
  <headerFooter alignWithMargins="0">
    <oddHeader>&amp;L&amp;"Times New Roman,Regular"&amp;12&amp;D&amp;C&amp;"Times New Roman,Regular"&amp;12Dubious Democracy 2003 Summary&amp;R&amp;"Times New Roman,Regular"&amp;12&amp;P of &amp;N</oddHeader>
  </headerFooter>
  <colBreaks count="1" manualBreakCount="1">
    <brk id="16" min="7" max="5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4"/>
  <sheetViews>
    <sheetView topLeftCell="A40" workbookViewId="0">
      <selection activeCell="C51" sqref="C51"/>
    </sheetView>
  </sheetViews>
  <sheetFormatPr defaultRowHeight="15.75"/>
  <cols>
    <col min="1" max="1" width="14.28515625" style="7" bestFit="1" customWidth="1"/>
    <col min="2" max="7" width="9.140625" style="7"/>
    <col min="8" max="8" width="8.28515625" style="7" customWidth="1"/>
    <col min="9" max="9" width="17.140625" style="7" customWidth="1"/>
    <col min="10" max="16384" width="9.140625" style="7"/>
  </cols>
  <sheetData>
    <row r="1" spans="1:9">
      <c r="A1" s="8" t="s">
        <v>832</v>
      </c>
    </row>
    <row r="3" spans="1:9">
      <c r="A3" s="8" t="s">
        <v>247</v>
      </c>
    </row>
    <row r="4" spans="1:9">
      <c r="A4" s="7" t="s">
        <v>248</v>
      </c>
      <c r="E4" s="342" t="s">
        <v>329</v>
      </c>
      <c r="F4" s="193"/>
    </row>
    <row r="5" spans="1:9">
      <c r="A5" s="7" t="s">
        <v>254</v>
      </c>
      <c r="I5" s="11"/>
    </row>
    <row r="6" spans="1:9">
      <c r="H6" s="11"/>
    </row>
    <row r="7" spans="1:9">
      <c r="I7" s="11"/>
    </row>
    <row r="8" spans="1:9">
      <c r="I8" s="11"/>
    </row>
    <row r="9" spans="1:9">
      <c r="A9" s="8"/>
    </row>
    <row r="11" spans="1:9" ht="16.5" thickBot="1"/>
    <row r="12" spans="1:9" ht="16.5" thickTop="1">
      <c r="A12" s="8" t="s">
        <v>131</v>
      </c>
      <c r="H12" s="12" t="s">
        <v>57</v>
      </c>
      <c r="I12" s="13"/>
    </row>
    <row r="13" spans="1:9">
      <c r="A13" s="10">
        <v>1</v>
      </c>
      <c r="B13" s="7" t="s">
        <v>133</v>
      </c>
      <c r="H13" s="14" t="s">
        <v>58</v>
      </c>
      <c r="I13" s="15"/>
    </row>
    <row r="14" spans="1:9">
      <c r="A14" s="10">
        <v>2</v>
      </c>
      <c r="B14" s="7" t="s">
        <v>134</v>
      </c>
      <c r="H14" s="134">
        <v>0.4</v>
      </c>
      <c r="I14" s="31" t="s">
        <v>59</v>
      </c>
    </row>
    <row r="15" spans="1:9">
      <c r="A15" s="10">
        <v>3</v>
      </c>
      <c r="B15" s="7" t="s">
        <v>135</v>
      </c>
      <c r="H15" s="134">
        <v>0.2</v>
      </c>
      <c r="I15" s="31" t="s">
        <v>60</v>
      </c>
    </row>
    <row r="16" spans="1:9">
      <c r="H16" s="134">
        <v>0.1</v>
      </c>
      <c r="I16" s="31" t="s">
        <v>61</v>
      </c>
    </row>
    <row r="17" spans="1:14">
      <c r="A17" s="8" t="s">
        <v>132</v>
      </c>
      <c r="H17" s="134">
        <v>0.05</v>
      </c>
      <c r="I17" s="31" t="s">
        <v>62</v>
      </c>
    </row>
    <row r="18" spans="1:14" ht="16.5" thickBot="1">
      <c r="A18" s="10">
        <v>1</v>
      </c>
      <c r="B18" s="7" t="s">
        <v>206</v>
      </c>
      <c r="H18" s="16"/>
      <c r="I18" s="32" t="s">
        <v>63</v>
      </c>
    </row>
    <row r="19" spans="1:14" ht="16.5" thickTop="1">
      <c r="A19" s="10">
        <v>2</v>
      </c>
      <c r="B19" s="7" t="s">
        <v>257</v>
      </c>
      <c r="K19" s="23"/>
    </row>
    <row r="20" spans="1:14">
      <c r="K20" s="23"/>
    </row>
    <row r="21" spans="1:14">
      <c r="A21" s="7" t="s">
        <v>56</v>
      </c>
      <c r="K21" s="23"/>
    </row>
    <row r="22" spans="1:14">
      <c r="K22" s="23"/>
      <c r="L22" s="23"/>
      <c r="M22" s="23"/>
      <c r="N22" s="23"/>
    </row>
    <row r="23" spans="1:14">
      <c r="A23" s="8" t="s">
        <v>246</v>
      </c>
      <c r="K23" s="23"/>
      <c r="L23" s="23"/>
      <c r="M23" s="23"/>
      <c r="N23" s="23"/>
    </row>
    <row r="24" spans="1:14">
      <c r="K24" s="23"/>
      <c r="L24" s="23"/>
      <c r="M24" s="23"/>
      <c r="N24" s="23"/>
    </row>
    <row r="25" spans="1:14">
      <c r="A25" s="8" t="s">
        <v>149</v>
      </c>
      <c r="K25" s="23"/>
      <c r="N25" s="23"/>
    </row>
    <row r="26" spans="1:14">
      <c r="A26" s="8"/>
      <c r="K26" s="23"/>
      <c r="N26" s="23"/>
    </row>
    <row r="27" spans="1:14">
      <c r="A27" s="8" t="s">
        <v>150</v>
      </c>
      <c r="B27" s="8" t="s">
        <v>151</v>
      </c>
      <c r="K27" s="23"/>
      <c r="N27" s="23"/>
    </row>
    <row r="28" spans="1:14">
      <c r="A28" s="7" t="s">
        <v>152</v>
      </c>
      <c r="B28" s="7" t="s">
        <v>258</v>
      </c>
      <c r="K28" s="23"/>
      <c r="N28" s="23"/>
    </row>
    <row r="29" spans="1:14">
      <c r="A29" s="7" t="s">
        <v>153</v>
      </c>
      <c r="B29" s="7" t="s">
        <v>155</v>
      </c>
      <c r="N29" s="23"/>
    </row>
    <row r="30" spans="1:14">
      <c r="A30" s="7" t="s">
        <v>154</v>
      </c>
      <c r="B30" s="7" t="s">
        <v>259</v>
      </c>
      <c r="N30" s="23"/>
    </row>
    <row r="31" spans="1:14">
      <c r="A31" s="7" t="s">
        <v>168</v>
      </c>
      <c r="B31" s="7" t="s">
        <v>183</v>
      </c>
      <c r="N31" s="23"/>
    </row>
    <row r="32" spans="1:14">
      <c r="A32" s="7" t="s">
        <v>157</v>
      </c>
      <c r="B32" s="7" t="s">
        <v>156</v>
      </c>
    </row>
    <row r="33" spans="1:2">
      <c r="A33" s="7" t="s">
        <v>159</v>
      </c>
      <c r="B33" s="7" t="s">
        <v>158</v>
      </c>
    </row>
    <row r="34" spans="1:2">
      <c r="A34" s="7" t="s">
        <v>161</v>
      </c>
      <c r="B34" s="7" t="s">
        <v>160</v>
      </c>
    </row>
    <row r="35" spans="1:2">
      <c r="A35" s="7" t="s">
        <v>162</v>
      </c>
      <c r="B35" s="7" t="s">
        <v>184</v>
      </c>
    </row>
    <row r="36" spans="1:2">
      <c r="A36" s="7" t="s">
        <v>163</v>
      </c>
      <c r="B36" s="7" t="s">
        <v>185</v>
      </c>
    </row>
    <row r="37" spans="1:2">
      <c r="A37" s="7" t="s">
        <v>218</v>
      </c>
      <c r="B37" s="7" t="s">
        <v>186</v>
      </c>
    </row>
    <row r="38" spans="1:2">
      <c r="A38" s="7" t="s">
        <v>217</v>
      </c>
      <c r="B38" s="7" t="s">
        <v>164</v>
      </c>
    </row>
    <row r="40" spans="1:2">
      <c r="A40" s="8" t="s">
        <v>132</v>
      </c>
    </row>
    <row r="42" spans="1:2">
      <c r="A42" s="8" t="s">
        <v>150</v>
      </c>
      <c r="B42" s="8" t="s">
        <v>151</v>
      </c>
    </row>
    <row r="43" spans="1:2">
      <c r="A43" s="7" t="s">
        <v>165</v>
      </c>
      <c r="B43" s="7" t="s">
        <v>756</v>
      </c>
    </row>
    <row r="44" spans="1:2">
      <c r="A44" s="7" t="s">
        <v>166</v>
      </c>
      <c r="B44" s="7" t="s">
        <v>253</v>
      </c>
    </row>
    <row r="45" spans="1:2">
      <c r="A45" s="7" t="s">
        <v>219</v>
      </c>
      <c r="B45" s="7" t="s">
        <v>260</v>
      </c>
    </row>
    <row r="46" spans="1:2">
      <c r="A46" s="7" t="s">
        <v>228</v>
      </c>
      <c r="B46" s="7" t="s">
        <v>251</v>
      </c>
    </row>
    <row r="47" spans="1:2">
      <c r="A47" s="7" t="s">
        <v>220</v>
      </c>
      <c r="B47" s="7" t="s">
        <v>221</v>
      </c>
    </row>
    <row r="48" spans="1:2">
      <c r="A48" s="7" t="s">
        <v>222</v>
      </c>
      <c r="B48" s="7" t="s">
        <v>223</v>
      </c>
    </row>
    <row r="49" spans="1:11">
      <c r="A49" s="7" t="s">
        <v>163</v>
      </c>
      <c r="B49" s="7" t="s">
        <v>312</v>
      </c>
      <c r="K49" s="8"/>
    </row>
    <row r="50" spans="1:11">
      <c r="A50" s="7" t="s">
        <v>218</v>
      </c>
      <c r="B50" s="7" t="s">
        <v>167</v>
      </c>
    </row>
    <row r="51" spans="1:11">
      <c r="A51" s="7" t="s">
        <v>224</v>
      </c>
      <c r="B51" s="7" t="s">
        <v>261</v>
      </c>
    </row>
    <row r="52" spans="1:11">
      <c r="A52" s="7" t="s">
        <v>225</v>
      </c>
      <c r="B52" s="7" t="s">
        <v>187</v>
      </c>
    </row>
    <row r="53" spans="1:11">
      <c r="A53" s="7" t="s">
        <v>169</v>
      </c>
      <c r="B53" s="7" t="s">
        <v>262</v>
      </c>
    </row>
    <row r="54" spans="1:11">
      <c r="A54" s="7" t="s">
        <v>170</v>
      </c>
      <c r="B54" s="7" t="s">
        <v>171</v>
      </c>
    </row>
    <row r="55" spans="1:11">
      <c r="A55" s="7" t="s">
        <v>226</v>
      </c>
      <c r="B55" s="7" t="s">
        <v>172</v>
      </c>
    </row>
    <row r="56" spans="1:11">
      <c r="A56" s="7" t="s">
        <v>227</v>
      </c>
      <c r="B56" s="7" t="s">
        <v>173</v>
      </c>
    </row>
    <row r="57" spans="1:11">
      <c r="A57" s="7" t="s">
        <v>229</v>
      </c>
      <c r="B57" s="7" t="s">
        <v>263</v>
      </c>
    </row>
    <row r="58" spans="1:11">
      <c r="A58" s="7" t="s">
        <v>230</v>
      </c>
      <c r="B58" s="7" t="s">
        <v>174</v>
      </c>
    </row>
    <row r="59" spans="1:11">
      <c r="A59" s="7" t="s">
        <v>231</v>
      </c>
      <c r="B59" s="7" t="s">
        <v>175</v>
      </c>
    </row>
    <row r="60" spans="1:11">
      <c r="A60" s="7" t="s">
        <v>232</v>
      </c>
      <c r="B60" s="7" t="s">
        <v>188</v>
      </c>
    </row>
    <row r="61" spans="1:11">
      <c r="A61" s="7" t="s">
        <v>233</v>
      </c>
      <c r="B61" s="7" t="s">
        <v>189</v>
      </c>
    </row>
    <row r="62" spans="1:11">
      <c r="A62" s="7" t="s">
        <v>234</v>
      </c>
      <c r="B62" s="7" t="s">
        <v>176</v>
      </c>
    </row>
    <row r="63" spans="1:11">
      <c r="A63" s="7" t="s">
        <v>235</v>
      </c>
      <c r="B63" s="7" t="s">
        <v>190</v>
      </c>
    </row>
    <row r="64" spans="1:11">
      <c r="A64" s="7" t="s">
        <v>236</v>
      </c>
      <c r="B64" s="7" t="s">
        <v>239</v>
      </c>
    </row>
    <row r="65" spans="1:2">
      <c r="B65" s="7" t="s">
        <v>177</v>
      </c>
    </row>
    <row r="66" spans="1:2">
      <c r="B66" s="7" t="s">
        <v>178</v>
      </c>
    </row>
    <row r="67" spans="1:2">
      <c r="B67" s="7" t="s">
        <v>191</v>
      </c>
    </row>
    <row r="68" spans="1:2">
      <c r="B68" s="7" t="s">
        <v>179</v>
      </c>
    </row>
    <row r="69" spans="1:2">
      <c r="A69" s="7" t="s">
        <v>237</v>
      </c>
      <c r="B69" s="7" t="s">
        <v>238</v>
      </c>
    </row>
    <row r="70" spans="1:2">
      <c r="A70" s="7" t="s">
        <v>240</v>
      </c>
      <c r="B70" s="7" t="s">
        <v>180</v>
      </c>
    </row>
    <row r="71" spans="1:2">
      <c r="B71" s="7" t="s">
        <v>181</v>
      </c>
    </row>
    <row r="72" spans="1:2">
      <c r="A72" s="7" t="s">
        <v>241</v>
      </c>
      <c r="B72" s="7" t="s">
        <v>242</v>
      </c>
    </row>
    <row r="73" spans="1:2">
      <c r="A73" s="7" t="s">
        <v>243</v>
      </c>
      <c r="B73" s="7" t="s">
        <v>244</v>
      </c>
    </row>
    <row r="74" spans="1:2">
      <c r="A74" s="7" t="s">
        <v>245</v>
      </c>
      <c r="B74" s="7" t="s">
        <v>182</v>
      </c>
    </row>
  </sheetData>
  <phoneticPr fontId="0" type="noConversion"/>
  <hyperlinks>
    <hyperlink ref="E4" r:id="rId1"/>
  </hyperlinks>
  <pageMargins left="0.75" right="0.5" top="1" bottom="1" header="0.5" footer="0.5"/>
  <pageSetup scale="64" orientation="landscape" horizontalDpi="300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2"/>
  <sheetViews>
    <sheetView workbookViewId="0">
      <selection activeCell="B8" sqref="B8"/>
    </sheetView>
  </sheetViews>
  <sheetFormatPr defaultRowHeight="12.75"/>
  <cols>
    <col min="1" max="1" width="20.7109375" customWidth="1"/>
    <col min="2" max="2" width="13.7109375" customWidth="1"/>
    <col min="3" max="3" width="5" customWidth="1"/>
    <col min="4" max="4" width="4.85546875" customWidth="1"/>
    <col min="5" max="5" width="15.42578125" bestFit="1" customWidth="1"/>
    <col min="6" max="6" width="5.5703125" customWidth="1"/>
  </cols>
  <sheetData>
    <row r="1" spans="1:8">
      <c r="A1" s="289" t="s">
        <v>271</v>
      </c>
      <c r="B1" s="269">
        <f>SUM('Data By State'!C7:'Data By State'!C56)</f>
        <v>81511988</v>
      </c>
      <c r="C1" s="254"/>
      <c r="D1" s="250"/>
      <c r="E1" s="256"/>
    </row>
    <row r="2" spans="1:8">
      <c r="A2" s="307" t="s">
        <v>192</v>
      </c>
      <c r="B2" s="297"/>
      <c r="C2" s="243"/>
      <c r="D2" s="243"/>
      <c r="E2" s="256"/>
    </row>
    <row r="3" spans="1:8">
      <c r="A3" s="308" t="s">
        <v>272</v>
      </c>
      <c r="B3" s="311">
        <f>SUM('Data By State'!D7:'Data By State'!D56)</f>
        <v>221664120</v>
      </c>
      <c r="C3" s="251"/>
      <c r="D3" s="251"/>
      <c r="E3" s="251"/>
      <c r="F3" s="251"/>
      <c r="G3" s="251"/>
      <c r="H3" s="249"/>
    </row>
    <row r="4" spans="1:8">
      <c r="A4" s="308" t="s">
        <v>328</v>
      </c>
      <c r="B4" s="270">
        <f>'Data By District'!X441</f>
        <v>0.49877022825359152</v>
      </c>
    </row>
    <row r="5" spans="1:8">
      <c r="A5" s="308" t="s">
        <v>197</v>
      </c>
      <c r="B5" s="270">
        <f>'Data By State'!P57</f>
        <v>0.24900879763490816</v>
      </c>
    </row>
    <row r="6" spans="1:8">
      <c r="A6" s="308" t="s">
        <v>60</v>
      </c>
      <c r="B6" s="270">
        <f>'Data By State'!O57</f>
        <v>0.73103448275862071</v>
      </c>
    </row>
    <row r="7" spans="1:8">
      <c r="A7" s="309" t="s">
        <v>296</v>
      </c>
      <c r="B7" s="270">
        <f>'Data By State'!Q57</f>
        <v>3.9180510094093679E-2</v>
      </c>
    </row>
    <row r="8" spans="1:8">
      <c r="A8" s="308" t="s">
        <v>297</v>
      </c>
      <c r="B8" s="312">
        <f>'Data By State'!R57</f>
        <v>0.38153877504964667</v>
      </c>
    </row>
    <row r="9" spans="1:8">
      <c r="A9" s="308" t="s">
        <v>295</v>
      </c>
      <c r="B9" s="313">
        <f>SUM('Data By State'!S7:'Data By State'!S56)</f>
        <v>435</v>
      </c>
    </row>
    <row r="10" spans="1:8">
      <c r="A10" s="310" t="s">
        <v>290</v>
      </c>
      <c r="B10" s="313">
        <f>SUM('Data By State'!T7:'Data By State'!T56)</f>
        <v>24</v>
      </c>
    </row>
    <row r="11" spans="1:8">
      <c r="A11" s="310" t="s">
        <v>291</v>
      </c>
      <c r="B11" s="313">
        <f>SUM('Data By State'!U7:'Data By State'!U56)</f>
        <v>24</v>
      </c>
    </row>
    <row r="12" spans="1:8">
      <c r="A12" s="310" t="s">
        <v>323</v>
      </c>
      <c r="B12" s="313">
        <f>SUM('Data By State'!V7:'Data By State'!V56)</f>
        <v>69</v>
      </c>
    </row>
    <row r="13" spans="1:8">
      <c r="A13" s="310" t="s">
        <v>292</v>
      </c>
      <c r="B13" s="313">
        <f>SUM('Data By State'!W7:'Data By State'!W56)</f>
        <v>170</v>
      </c>
    </row>
    <row r="14" spans="1:8">
      <c r="A14" s="310" t="s">
        <v>293</v>
      </c>
      <c r="B14" s="313">
        <f>SUM('Data By State'!X7:'Data By State'!X56)</f>
        <v>73</v>
      </c>
    </row>
    <row r="15" spans="1:8">
      <c r="A15" s="310" t="s">
        <v>294</v>
      </c>
      <c r="B15" s="313">
        <f>SUM('Data By State'!Y7:'Data By State'!Y56)</f>
        <v>75</v>
      </c>
    </row>
    <row r="16" spans="1:8">
      <c r="A16" s="310" t="s">
        <v>274</v>
      </c>
      <c r="B16" s="270">
        <f>'Data By State'!Y57/'Data By State'!S57</f>
        <v>0.17241379310344829</v>
      </c>
    </row>
    <row r="17" spans="1:27">
      <c r="A17" s="308" t="s">
        <v>298</v>
      </c>
      <c r="B17" s="270">
        <f>('Data By State'!C57-'Data By State'!AR57)/'Data By State'!C57</f>
        <v>4.3590815132615833E-2</v>
      </c>
    </row>
    <row r="18" spans="1:27" ht="13.5" thickBot="1">
      <c r="A18" s="309" t="s">
        <v>299</v>
      </c>
      <c r="B18" s="270">
        <f>'Data By State'!BH57/'Data By State'!AR57</f>
        <v>0.7080189290719584</v>
      </c>
    </row>
    <row r="19" spans="1:27">
      <c r="A19" s="314" t="s">
        <v>300</v>
      </c>
      <c r="B19" s="253">
        <f>SUM('Data By State'!AR7:'Data By State'!AR56)</f>
        <v>77958814</v>
      </c>
    </row>
    <row r="20" spans="1:27">
      <c r="A20" s="303" t="s">
        <v>306</v>
      </c>
      <c r="B20" s="253">
        <f>SUM('Data By State'!AS7:'Data By State'!AS56)</f>
        <v>35616073</v>
      </c>
    </row>
    <row r="21" spans="1:27">
      <c r="A21" s="303" t="s">
        <v>307</v>
      </c>
      <c r="B21" s="315">
        <f>SUM('Data By State'!AT7:'Data By State'!AT56)</f>
        <v>40080865</v>
      </c>
    </row>
    <row r="22" spans="1:27">
      <c r="A22" s="303" t="s">
        <v>301</v>
      </c>
      <c r="B22" s="253">
        <f>SUM('Data By State'!AU7:'Data By State'!AU56)</f>
        <v>2261876</v>
      </c>
    </row>
    <row r="23" spans="1:27">
      <c r="A23" s="303" t="s">
        <v>302</v>
      </c>
      <c r="B23" s="267">
        <f>('Data By State'!AS57)/('Data By State'!AR57)</f>
        <v>0.45685755301510872</v>
      </c>
    </row>
    <row r="24" spans="1:27">
      <c r="A24" s="303" t="s">
        <v>303</v>
      </c>
      <c r="B24" s="267">
        <f>('Data By State'!AT57)/('Data By State'!AR57)</f>
        <v>0.51412871673496729</v>
      </c>
    </row>
    <row r="25" spans="1:27" ht="13.5" thickBot="1">
      <c r="A25" s="304" t="s">
        <v>304</v>
      </c>
      <c r="B25" s="267">
        <f>('Data By State'!AU57)/('Data By State'!AR57)</f>
        <v>2.9013730249924017E-2</v>
      </c>
      <c r="C25" s="249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49"/>
      <c r="O25" s="249"/>
      <c r="P25" s="249"/>
      <c r="Q25" s="249"/>
      <c r="R25" s="249"/>
      <c r="S25" s="249"/>
      <c r="T25" s="249"/>
      <c r="U25" s="249"/>
      <c r="V25" s="249"/>
      <c r="W25" s="249"/>
      <c r="X25" s="249"/>
      <c r="Y25" s="249"/>
      <c r="Z25" s="249"/>
      <c r="AA25" s="249"/>
    </row>
    <row r="26" spans="1:27">
      <c r="A26" s="289" t="s">
        <v>305</v>
      </c>
      <c r="B26" s="268">
        <f>SUM(B27:B29)</f>
        <v>435</v>
      </c>
      <c r="C26" s="249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49"/>
      <c r="O26" s="249"/>
      <c r="P26" s="249"/>
      <c r="Q26" s="249"/>
      <c r="R26" s="249"/>
      <c r="S26" s="249"/>
      <c r="T26" s="249"/>
      <c r="U26" s="249"/>
      <c r="V26" s="249"/>
      <c r="W26" s="249"/>
      <c r="X26" s="249"/>
      <c r="Y26" s="249"/>
      <c r="Z26" s="249"/>
      <c r="AA26" s="249"/>
    </row>
    <row r="27" spans="1:27">
      <c r="A27" s="305" t="s">
        <v>306</v>
      </c>
      <c r="B27" s="316">
        <f>SUM('Data By State'!AY7:'Data By State'!AY56)</f>
        <v>188</v>
      </c>
    </row>
    <row r="28" spans="1:27">
      <c r="A28" s="305" t="s">
        <v>307</v>
      </c>
      <c r="B28" s="316">
        <f>SUM('Data By State'!AZ7:'Data By State'!AZ56)</f>
        <v>247</v>
      </c>
      <c r="F28" s="343"/>
    </row>
    <row r="29" spans="1:27">
      <c r="A29" s="305" t="s">
        <v>308</v>
      </c>
      <c r="B29" s="316">
        <f>SUM('Data By State'!BA7:'Data By State'!BA56)</f>
        <v>0</v>
      </c>
    </row>
    <row r="30" spans="1:27">
      <c r="A30" s="305" t="s">
        <v>302</v>
      </c>
      <c r="B30" s="270">
        <f>('Data By State'!AY57)/('Data By State'!$S57)</f>
        <v>0.43218390804597701</v>
      </c>
    </row>
    <row r="31" spans="1:27">
      <c r="A31" s="305" t="s">
        <v>303</v>
      </c>
      <c r="B31" s="270">
        <f>('Data By State'!AZ57)/('Data By State'!$S57)</f>
        <v>0.56781609195402294</v>
      </c>
    </row>
    <row r="32" spans="1:27" ht="13.5" thickBot="1">
      <c r="A32" s="306" t="s">
        <v>304</v>
      </c>
      <c r="B32" s="270">
        <f>('Data By State'!BA57)/('Data By State'!$S57)</f>
        <v>0</v>
      </c>
    </row>
    <row r="33" spans="1:2">
      <c r="A33" s="305" t="s">
        <v>311</v>
      </c>
      <c r="B33" s="317">
        <f>ABS(('Data By State'!AS57/'Data By State'!$AR57)-('Data By State'!AY57/'Data By State'!$S57))</f>
        <v>2.4673644969131714E-2</v>
      </c>
    </row>
    <row r="34" spans="1:2">
      <c r="A34" s="305" t="s">
        <v>310</v>
      </c>
      <c r="B34" s="317">
        <f>ABS(('Data By State'!AT57/'Data By State'!$AR57)-('Data By State'!AZ57/'Data By State'!$S57))</f>
        <v>5.3687375219055644E-2</v>
      </c>
    </row>
    <row r="35" spans="1:2" ht="13.5" thickBot="1">
      <c r="A35" s="305" t="s">
        <v>309</v>
      </c>
      <c r="B35" s="317">
        <f>ABS(('Data By State'!AU57/'Data By State'!$AR57)-('Data By State'!BA57/'Data By State'!$S57))</f>
        <v>2.9013730249924017E-2</v>
      </c>
    </row>
    <row r="36" spans="1:2">
      <c r="A36" s="289" t="s">
        <v>273</v>
      </c>
      <c r="B36" s="318">
        <f>('Data By State'!BI57)/('Data By State'!AR57)</f>
        <v>0.29198107092804154</v>
      </c>
    </row>
    <row r="37" spans="1:2">
      <c r="A37" s="305" t="s">
        <v>116</v>
      </c>
      <c r="B37" s="270">
        <f>'Data By State'!BJ57/'Data By State'!AS57</f>
        <v>0.40767464734250741</v>
      </c>
    </row>
    <row r="38" spans="1:2">
      <c r="A38" s="305" t="s">
        <v>117</v>
      </c>
      <c r="B38" s="270">
        <f>'Data By State'!BK57/'Data By State'!AT57</f>
        <v>0.23478899469859246</v>
      </c>
    </row>
    <row r="39" spans="1:2" ht="13.5" thickBot="1">
      <c r="A39" s="306" t="s">
        <v>118</v>
      </c>
      <c r="B39" s="270">
        <f>'Data By State'!BL57/'Data By State'!AU57</f>
        <v>0.99892920743665881</v>
      </c>
    </row>
    <row r="40" spans="1:2">
      <c r="B40" s="256"/>
    </row>
    <row r="41" spans="1:2">
      <c r="B41" s="256"/>
    </row>
    <row r="42" spans="1:2">
      <c r="B42" s="256"/>
    </row>
    <row r="43" spans="1:2">
      <c r="B43" s="256"/>
    </row>
    <row r="44" spans="1:2">
      <c r="B44" s="256"/>
    </row>
    <row r="45" spans="1:2">
      <c r="B45" s="256"/>
    </row>
    <row r="46" spans="1:2">
      <c r="B46" s="256"/>
    </row>
    <row r="47" spans="1:2">
      <c r="B47" s="256"/>
    </row>
    <row r="48" spans="1:2">
      <c r="B48" s="256"/>
    </row>
    <row r="49" spans="2:2">
      <c r="B49" s="256"/>
    </row>
    <row r="50" spans="2:2">
      <c r="B50" s="256"/>
    </row>
    <row r="51" spans="2:2">
      <c r="B51" s="256"/>
    </row>
    <row r="52" spans="2:2">
      <c r="B52" s="256"/>
    </row>
    <row r="53" spans="2:2">
      <c r="B53" s="256"/>
    </row>
    <row r="54" spans="2:2">
      <c r="B54" s="256"/>
    </row>
    <row r="55" spans="2:2">
      <c r="B55" s="256"/>
    </row>
    <row r="56" spans="2:2">
      <c r="B56" s="256"/>
    </row>
    <row r="57" spans="2:2">
      <c r="B57" s="256"/>
    </row>
    <row r="58" spans="2:2">
      <c r="B58" s="256"/>
    </row>
    <row r="59" spans="2:2">
      <c r="B59" s="256"/>
    </row>
    <row r="60" spans="2:2">
      <c r="B60" s="256"/>
    </row>
    <row r="61" spans="2:2">
      <c r="B61" s="256"/>
    </row>
    <row r="62" spans="2:2">
      <c r="B62" s="256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C11" sqref="C11"/>
    </sheetView>
  </sheetViews>
  <sheetFormatPr defaultRowHeight="12.75"/>
  <cols>
    <col min="1" max="1" width="24.7109375" customWidth="1"/>
    <col min="2" max="2" width="15.7109375" customWidth="1"/>
    <col min="3" max="3" width="17.7109375" customWidth="1"/>
    <col min="4" max="4" width="18" customWidth="1"/>
    <col min="5" max="5" width="12" customWidth="1"/>
    <col min="6" max="6" width="12.7109375" customWidth="1"/>
  </cols>
  <sheetData>
    <row r="1" spans="1:8" ht="13.5" thickBot="1">
      <c r="A1" s="276"/>
      <c r="B1" s="286" t="s">
        <v>279</v>
      </c>
      <c r="C1" s="287" t="s">
        <v>278</v>
      </c>
      <c r="D1" s="287" t="s">
        <v>277</v>
      </c>
      <c r="E1" s="287" t="s">
        <v>276</v>
      </c>
      <c r="F1" s="277" t="s">
        <v>282</v>
      </c>
    </row>
    <row r="2" spans="1:8">
      <c r="A2" s="278" t="s">
        <v>280</v>
      </c>
      <c r="B2" s="245">
        <f>SUM('Data By State'!AY7:'Data By State'!AY56)</f>
        <v>188</v>
      </c>
      <c r="C2" s="283">
        <f>B2/B5</f>
        <v>0.43218390804597701</v>
      </c>
      <c r="D2" s="246">
        <f>SUM('Data By State'!AS7:'Data By State'!AS56)</f>
        <v>35616073</v>
      </c>
      <c r="E2" s="283">
        <f>D2/D5</f>
        <v>0.45685755301510872</v>
      </c>
      <c r="F2" s="284">
        <f>D2/B2</f>
        <v>189447.19680851063</v>
      </c>
    </row>
    <row r="3" spans="1:8">
      <c r="A3" s="279" t="s">
        <v>281</v>
      </c>
      <c r="B3" s="252">
        <f>SUM('Data By State'!AZ7:'Data By State'!AZ56)</f>
        <v>247</v>
      </c>
      <c r="C3" s="282">
        <f>B3/B5</f>
        <v>0.56781609195402294</v>
      </c>
      <c r="D3" s="253">
        <f>SUM('Data By State'!AT7:'Data By State'!AT56)</f>
        <v>40080865</v>
      </c>
      <c r="E3" s="282">
        <f>D3/D5</f>
        <v>0.51412871673496729</v>
      </c>
      <c r="F3" s="274">
        <f>D3/B3</f>
        <v>162270.7085020243</v>
      </c>
    </row>
    <row r="4" spans="1:8">
      <c r="A4" s="280" t="s">
        <v>289</v>
      </c>
      <c r="B4" s="252">
        <f>SUM('Data By State'!BA7:'Data By State'!BA56)</f>
        <v>0</v>
      </c>
      <c r="C4" s="282">
        <v>0</v>
      </c>
      <c r="D4" s="253">
        <f>SUM('Data By State'!AU7:'Data By State'!AU56)</f>
        <v>2261876</v>
      </c>
      <c r="E4" s="282">
        <f>D4/D5</f>
        <v>2.9013730249924017E-2</v>
      </c>
      <c r="F4" s="290" t="s">
        <v>285</v>
      </c>
    </row>
    <row r="5" spans="1:8" ht="13.5" thickBot="1">
      <c r="A5" s="281" t="s">
        <v>119</v>
      </c>
      <c r="B5" s="244">
        <f>SUM(B2:B4)</f>
        <v>435</v>
      </c>
      <c r="C5" s="244"/>
      <c r="D5" s="247">
        <f>SUM(D2:D4)</f>
        <v>77958814</v>
      </c>
      <c r="E5" s="244"/>
      <c r="F5" s="248"/>
    </row>
    <row r="6" spans="1:8">
      <c r="A6" s="272"/>
      <c r="B6" s="243"/>
      <c r="C6" s="243"/>
      <c r="D6" s="253"/>
      <c r="E6" s="243"/>
      <c r="F6" s="243"/>
    </row>
    <row r="7" spans="1:8" ht="13.5" thickBot="1">
      <c r="A7" s="272"/>
      <c r="B7" s="243"/>
      <c r="C7" s="243"/>
      <c r="D7" s="243"/>
      <c r="E7" s="243"/>
      <c r="F7" s="243"/>
      <c r="G7" s="249"/>
      <c r="H7" s="249"/>
    </row>
    <row r="8" spans="1:8">
      <c r="A8" s="292" t="s">
        <v>275</v>
      </c>
      <c r="B8" s="242"/>
      <c r="C8" s="288"/>
      <c r="D8" s="242"/>
      <c r="E8" s="242"/>
      <c r="F8" s="285"/>
      <c r="G8" s="249"/>
      <c r="H8" s="249"/>
    </row>
    <row r="9" spans="1:8">
      <c r="A9" s="293" t="s">
        <v>287</v>
      </c>
      <c r="B9" s="243" t="s">
        <v>283</v>
      </c>
      <c r="C9" s="243">
        <f>E2*B5</f>
        <v>198.73303556157228</v>
      </c>
      <c r="D9" s="297" t="s">
        <v>266</v>
      </c>
      <c r="E9" s="295">
        <f>ROUND(C9,0)</f>
        <v>199</v>
      </c>
      <c r="F9" s="299" t="s">
        <v>288</v>
      </c>
      <c r="G9" s="243"/>
      <c r="H9" s="249"/>
    </row>
    <row r="10" spans="1:8">
      <c r="A10" s="293"/>
      <c r="B10" s="243" t="s">
        <v>284</v>
      </c>
      <c r="C10" s="243">
        <f>E3*B5</f>
        <v>223.64599177971078</v>
      </c>
      <c r="D10" s="243"/>
      <c r="E10" s="275">
        <f>ROUND(C10,0)</f>
        <v>224</v>
      </c>
      <c r="F10" s="300" t="s">
        <v>288</v>
      </c>
      <c r="G10" s="243"/>
      <c r="H10" s="249"/>
    </row>
    <row r="11" spans="1:8" ht="13.5" thickBot="1">
      <c r="A11" s="294"/>
      <c r="B11" s="291" t="s">
        <v>286</v>
      </c>
      <c r="C11" s="291">
        <f>E4*B5</f>
        <v>12.620972658716948</v>
      </c>
      <c r="D11" s="291"/>
      <c r="E11" s="296">
        <f>ROUND(C11,0)</f>
        <v>13</v>
      </c>
      <c r="F11" s="301" t="s">
        <v>288</v>
      </c>
    </row>
    <row r="12" spans="1:8" ht="13.5" thickBot="1">
      <c r="A12" s="298"/>
      <c r="B12" s="249"/>
      <c r="C12" s="249"/>
      <c r="D12" s="337" t="s">
        <v>324</v>
      </c>
      <c r="E12" s="338">
        <f>SUM(E9:E11)</f>
        <v>436</v>
      </c>
      <c r="F12" s="249"/>
      <c r="G12" s="249"/>
    </row>
    <row r="13" spans="1:8">
      <c r="A13" s="255"/>
      <c r="B13" s="249"/>
      <c r="C13" s="249"/>
      <c r="D13" s="249"/>
      <c r="E13" s="271"/>
      <c r="F13" s="249"/>
      <c r="G13" s="249"/>
    </row>
    <row r="14" spans="1:8">
      <c r="A14" s="255"/>
      <c r="B14" s="275"/>
      <c r="C14" s="275"/>
      <c r="D14" s="275"/>
      <c r="E14" s="275"/>
      <c r="F14" s="255"/>
    </row>
    <row r="15" spans="1:8">
      <c r="A15" s="302"/>
      <c r="B15" s="266"/>
      <c r="C15" s="266"/>
      <c r="D15" s="266"/>
      <c r="E15" s="255"/>
      <c r="F15" s="255"/>
    </row>
    <row r="16" spans="1:8">
      <c r="A16" s="272"/>
      <c r="B16" s="255"/>
      <c r="C16" s="255"/>
      <c r="D16" s="255"/>
      <c r="E16" s="255"/>
      <c r="F16" s="255"/>
    </row>
  </sheetData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4:N31"/>
  <sheetViews>
    <sheetView workbookViewId="0">
      <selection activeCell="R23" sqref="R23"/>
    </sheetView>
  </sheetViews>
  <sheetFormatPr defaultRowHeight="12.75"/>
  <cols>
    <col min="13" max="13" width="14.85546875" customWidth="1"/>
  </cols>
  <sheetData>
    <row r="4" spans="13:14">
      <c r="M4" t="s">
        <v>379</v>
      </c>
      <c r="N4" s="343">
        <f>SUM('National Averages'!B10:B12)</f>
        <v>117</v>
      </c>
    </row>
    <row r="5" spans="13:14">
      <c r="M5" t="s">
        <v>380</v>
      </c>
      <c r="N5" s="343">
        <f>SUM('National Averages'!B13:B15)</f>
        <v>318</v>
      </c>
    </row>
    <row r="30" spans="14:14">
      <c r="N30" s="343"/>
    </row>
    <row r="31" spans="14:14">
      <c r="N31" s="34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Data By District</vt:lpstr>
      <vt:lpstr>Data By State</vt:lpstr>
      <vt:lpstr>State rankings</vt:lpstr>
      <vt:lpstr>Instructions</vt:lpstr>
      <vt:lpstr>National Averages</vt:lpstr>
      <vt:lpstr>Seats to Votes</vt:lpstr>
      <vt:lpstr>Charts</vt:lpstr>
      <vt:lpstr>'Data By District'!Print_Area</vt:lpstr>
      <vt:lpstr>'Data By State'!Print_Area</vt:lpstr>
      <vt:lpstr>Instructions!Print_Area</vt:lpstr>
      <vt:lpstr>'State rankings'!Print_Area</vt:lpstr>
      <vt:lpstr>'Data By District'!Print_Titles</vt:lpstr>
      <vt:lpstr>'Data By State'!Print_Titles</vt:lpstr>
      <vt:lpstr>'State rankings'!Print_Titles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Grossmann</dc:creator>
  <cp:lastModifiedBy>Andrew</cp:lastModifiedBy>
  <cp:lastPrinted>2006-11-10T20:17:13Z</cp:lastPrinted>
  <dcterms:created xsi:type="dcterms:W3CDTF">2001-07-08T18:26:34Z</dcterms:created>
  <dcterms:modified xsi:type="dcterms:W3CDTF">2015-03-10T14:13:08Z</dcterms:modified>
</cp:coreProperties>
</file>