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8" windowWidth="20736" windowHeight="9972" activeTab="1"/>
  </bookViews>
  <sheets>
    <sheet name="2013" sheetId="2" r:id="rId1"/>
    <sheet name="2011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AA43" i="2" l="1"/>
  <c r="U42" i="2"/>
  <c r="V42" i="2" s="1"/>
  <c r="T42" i="2"/>
  <c r="S42" i="2"/>
  <c r="Q42" i="2"/>
  <c r="L42" i="2"/>
  <c r="G48" i="2"/>
  <c r="G49" i="2" s="1"/>
  <c r="F48" i="2"/>
  <c r="F49" i="2" s="1"/>
  <c r="F47" i="2"/>
  <c r="F47" i="1"/>
  <c r="G44" i="2"/>
  <c r="G43" i="2"/>
  <c r="F45" i="2"/>
  <c r="F44" i="2"/>
  <c r="F43" i="2"/>
  <c r="E44" i="2"/>
  <c r="E43" i="2"/>
  <c r="D44" i="2"/>
  <c r="D43" i="2"/>
  <c r="C44" i="2"/>
  <c r="C43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2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3" i="2"/>
  <c r="X4" i="2"/>
  <c r="X5" i="2"/>
  <c r="X6" i="2"/>
  <c r="X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2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2" i="2"/>
  <c r="L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K26" i="2"/>
  <c r="J26" i="2"/>
  <c r="J25" i="2"/>
  <c r="I25" i="2"/>
  <c r="J24" i="2"/>
  <c r="I24" i="2"/>
  <c r="J23" i="2"/>
  <c r="I23" i="2"/>
  <c r="I22" i="2"/>
  <c r="J22" i="2"/>
  <c r="J21" i="2"/>
  <c r="I21" i="2"/>
  <c r="J20" i="2"/>
  <c r="I20" i="2"/>
  <c r="J19" i="2"/>
  <c r="I19" i="2"/>
  <c r="J18" i="2"/>
  <c r="I18" i="2"/>
  <c r="J17" i="2"/>
  <c r="I17" i="2"/>
  <c r="J16" i="2"/>
  <c r="I16" i="2"/>
  <c r="K15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J2" i="2"/>
  <c r="I2" i="2"/>
  <c r="D44" i="1"/>
  <c r="E44" i="1"/>
  <c r="D43" i="1"/>
  <c r="E43" i="1"/>
  <c r="C44" i="1"/>
  <c r="C43" i="1"/>
  <c r="F43" i="1" s="1"/>
  <c r="J25" i="1"/>
  <c r="U3" i="1"/>
  <c r="U4" i="1"/>
  <c r="U5" i="1"/>
  <c r="U6" i="1"/>
  <c r="U7" i="1"/>
  <c r="U8" i="1"/>
  <c r="U9" i="1"/>
  <c r="U10" i="1"/>
  <c r="U11" i="1"/>
  <c r="U12" i="1"/>
  <c r="U13" i="1"/>
  <c r="U15" i="1"/>
  <c r="U16" i="1"/>
  <c r="U17" i="1"/>
  <c r="U18" i="1"/>
  <c r="U19" i="1"/>
  <c r="U20" i="1"/>
  <c r="U21" i="1"/>
  <c r="U22" i="1"/>
  <c r="U23" i="1"/>
  <c r="U24" i="1"/>
  <c r="U26" i="1"/>
  <c r="U27" i="1"/>
  <c r="U28" i="1"/>
  <c r="U29" i="1"/>
  <c r="U30" i="1"/>
  <c r="U31" i="1"/>
  <c r="U32" i="1"/>
  <c r="U33" i="1"/>
  <c r="U34" i="1"/>
  <c r="U36" i="1"/>
  <c r="U37" i="1"/>
  <c r="U38" i="1"/>
  <c r="U39" i="1"/>
  <c r="U40" i="1"/>
  <c r="U41" i="1"/>
  <c r="U2" i="1"/>
  <c r="T21" i="1"/>
  <c r="Q3" i="1"/>
  <c r="Q4" i="1"/>
  <c r="Q5" i="1"/>
  <c r="Q6" i="1"/>
  <c r="Q7" i="1"/>
  <c r="Q8" i="1"/>
  <c r="Q9" i="1"/>
  <c r="Q10" i="1"/>
  <c r="Q11" i="1"/>
  <c r="Q12" i="1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2" i="1"/>
  <c r="P14" i="1"/>
  <c r="Q14" i="1" s="1"/>
  <c r="J41" i="1"/>
  <c r="T41" i="1" s="1"/>
  <c r="I41" i="1"/>
  <c r="S41" i="1" s="1"/>
  <c r="J40" i="1"/>
  <c r="T40" i="1" s="1"/>
  <c r="I40" i="1"/>
  <c r="S40" i="1" s="1"/>
  <c r="J39" i="1"/>
  <c r="T39" i="1" s="1"/>
  <c r="I39" i="1"/>
  <c r="S39" i="1" s="1"/>
  <c r="J38" i="1"/>
  <c r="T38" i="1" s="1"/>
  <c r="I38" i="1"/>
  <c r="S38" i="1" s="1"/>
  <c r="V38" i="1" s="1"/>
  <c r="J37" i="1"/>
  <c r="T37" i="1" s="1"/>
  <c r="I37" i="1"/>
  <c r="S37" i="1" s="1"/>
  <c r="J36" i="1"/>
  <c r="T36" i="1" s="1"/>
  <c r="I36" i="1"/>
  <c r="S36" i="1" s="1"/>
  <c r="K35" i="1"/>
  <c r="U35" i="1" s="1"/>
  <c r="J35" i="1"/>
  <c r="T35" i="1" s="1"/>
  <c r="I35" i="1"/>
  <c r="S35" i="1" s="1"/>
  <c r="J34" i="1"/>
  <c r="T34" i="1" s="1"/>
  <c r="I34" i="1"/>
  <c r="S34" i="1" s="1"/>
  <c r="V34" i="1" s="1"/>
  <c r="J33" i="1"/>
  <c r="T33" i="1" s="1"/>
  <c r="I33" i="1"/>
  <c r="S33" i="1" s="1"/>
  <c r="J32" i="1"/>
  <c r="T32" i="1" s="1"/>
  <c r="I32" i="1"/>
  <c r="S32" i="1" s="1"/>
  <c r="V32" i="1" s="1"/>
  <c r="J31" i="1"/>
  <c r="T31" i="1" s="1"/>
  <c r="I31" i="1"/>
  <c r="S31" i="1" s="1"/>
  <c r="J30" i="1"/>
  <c r="T30" i="1" s="1"/>
  <c r="I30" i="1"/>
  <c r="S30" i="1" s="1"/>
  <c r="V30" i="1" s="1"/>
  <c r="J29" i="1"/>
  <c r="T29" i="1" s="1"/>
  <c r="I29" i="1"/>
  <c r="S29" i="1" s="1"/>
  <c r="J28" i="1"/>
  <c r="T28" i="1" s="1"/>
  <c r="I28" i="1"/>
  <c r="S28" i="1" s="1"/>
  <c r="V28" i="1" s="1"/>
  <c r="J27" i="1"/>
  <c r="T27" i="1" s="1"/>
  <c r="I27" i="1"/>
  <c r="S27" i="1" s="1"/>
  <c r="J26" i="1"/>
  <c r="T26" i="1" s="1"/>
  <c r="I26" i="1"/>
  <c r="S26" i="1" s="1"/>
  <c r="V26" i="1" s="1"/>
  <c r="K25" i="1"/>
  <c r="U25" i="1" s="1"/>
  <c r="T25" i="1"/>
  <c r="I25" i="1"/>
  <c r="S25" i="1" s="1"/>
  <c r="V25" i="1" s="1"/>
  <c r="Z25" i="1" s="1"/>
  <c r="J24" i="1"/>
  <c r="T24" i="1" s="1"/>
  <c r="I24" i="1"/>
  <c r="S24" i="1" s="1"/>
  <c r="J23" i="1"/>
  <c r="T23" i="1" s="1"/>
  <c r="I23" i="1"/>
  <c r="S23" i="1" s="1"/>
  <c r="V23" i="1" s="1"/>
  <c r="J22" i="1"/>
  <c r="T22" i="1" s="1"/>
  <c r="I22" i="1"/>
  <c r="S22" i="1" s="1"/>
  <c r="I21" i="1"/>
  <c r="S21" i="1" s="1"/>
  <c r="J20" i="1"/>
  <c r="T20" i="1" s="1"/>
  <c r="I20" i="1"/>
  <c r="S20" i="1" s="1"/>
  <c r="V20" i="1" s="1"/>
  <c r="J19" i="1"/>
  <c r="T19" i="1" s="1"/>
  <c r="I19" i="1"/>
  <c r="S19" i="1" s="1"/>
  <c r="J18" i="1"/>
  <c r="T18" i="1" s="1"/>
  <c r="I18" i="1"/>
  <c r="S18" i="1" s="1"/>
  <c r="V18" i="1" s="1"/>
  <c r="J17" i="1"/>
  <c r="T17" i="1" s="1"/>
  <c r="I17" i="1"/>
  <c r="S17" i="1" s="1"/>
  <c r="J16" i="1"/>
  <c r="T16" i="1" s="1"/>
  <c r="I16" i="1"/>
  <c r="S16" i="1" s="1"/>
  <c r="V16" i="1" s="1"/>
  <c r="J15" i="1"/>
  <c r="T15" i="1" s="1"/>
  <c r="I15" i="1"/>
  <c r="S15" i="1" s="1"/>
  <c r="J14" i="1"/>
  <c r="T14" i="1" s="1"/>
  <c r="K14" i="1"/>
  <c r="U14" i="1" s="1"/>
  <c r="I14" i="1"/>
  <c r="S14" i="1" s="1"/>
  <c r="J13" i="1"/>
  <c r="T13" i="1" s="1"/>
  <c r="I13" i="1"/>
  <c r="S13" i="1" s="1"/>
  <c r="V13" i="1" s="1"/>
  <c r="J12" i="1"/>
  <c r="T12" i="1" s="1"/>
  <c r="I12" i="1"/>
  <c r="S12" i="1" s="1"/>
  <c r="J11" i="1"/>
  <c r="T11" i="1" s="1"/>
  <c r="I11" i="1"/>
  <c r="S11" i="1" s="1"/>
  <c r="V11" i="1" s="1"/>
  <c r="J10" i="1"/>
  <c r="T10" i="1" s="1"/>
  <c r="I10" i="1"/>
  <c r="S10" i="1" s="1"/>
  <c r="J9" i="1"/>
  <c r="T9" i="1" s="1"/>
  <c r="I9" i="1"/>
  <c r="S9" i="1" s="1"/>
  <c r="V9" i="1" s="1"/>
  <c r="J8" i="1"/>
  <c r="T8" i="1" s="1"/>
  <c r="I8" i="1"/>
  <c r="S8" i="1" s="1"/>
  <c r="I7" i="1"/>
  <c r="S7" i="1" s="1"/>
  <c r="J7" i="1"/>
  <c r="T7" i="1" s="1"/>
  <c r="J6" i="1"/>
  <c r="T6" i="1" s="1"/>
  <c r="I6" i="1"/>
  <c r="S6" i="1" s="1"/>
  <c r="J5" i="1"/>
  <c r="T5" i="1" s="1"/>
  <c r="J4" i="1"/>
  <c r="T4" i="1" s="1"/>
  <c r="J3" i="1"/>
  <c r="T3" i="1" s="1"/>
  <c r="J2" i="1"/>
  <c r="T2" i="1" s="1"/>
  <c r="I5" i="1"/>
  <c r="S5" i="1" s="1"/>
  <c r="I4" i="1"/>
  <c r="S4" i="1" s="1"/>
  <c r="V4" i="1" s="1"/>
  <c r="I3" i="1"/>
  <c r="S3" i="1" s="1"/>
  <c r="V3" i="1" s="1"/>
  <c r="I2" i="1"/>
  <c r="S2" i="1" s="1"/>
  <c r="G3" i="1"/>
  <c r="G48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" i="1"/>
  <c r="X42" i="2" l="1"/>
  <c r="Y42" i="2"/>
  <c r="Z42" i="2"/>
  <c r="V36" i="1"/>
  <c r="V40" i="1"/>
  <c r="F44" i="1"/>
  <c r="F45" i="1" s="1"/>
  <c r="G43" i="1" s="1"/>
  <c r="V5" i="1"/>
  <c r="X5" i="1" s="1"/>
  <c r="V15" i="1"/>
  <c r="V17" i="1"/>
  <c r="V19" i="1"/>
  <c r="V21" i="1"/>
  <c r="Z21" i="1" s="1"/>
  <c r="V27" i="1"/>
  <c r="V29" i="1"/>
  <c r="V31" i="1"/>
  <c r="X31" i="1" s="1"/>
  <c r="V33" i="1"/>
  <c r="Z33" i="1" s="1"/>
  <c r="V35" i="1"/>
  <c r="F48" i="1"/>
  <c r="G47" i="1"/>
  <c r="G49" i="1" s="1"/>
  <c r="T42" i="1"/>
  <c r="V6" i="1"/>
  <c r="V8" i="1"/>
  <c r="Z8" i="1" s="1"/>
  <c r="V10" i="1"/>
  <c r="X10" i="1" s="1"/>
  <c r="V12" i="1"/>
  <c r="V14" i="1"/>
  <c r="V22" i="1"/>
  <c r="X22" i="1" s="1"/>
  <c r="V24" i="1"/>
  <c r="Z24" i="1" s="1"/>
  <c r="V37" i="1"/>
  <c r="V39" i="1"/>
  <c r="V41" i="1"/>
  <c r="Y41" i="1" s="1"/>
  <c r="Y3" i="1"/>
  <c r="Y4" i="1"/>
  <c r="Y6" i="1"/>
  <c r="Y8" i="1"/>
  <c r="Y9" i="1"/>
  <c r="Y11" i="1"/>
  <c r="Y12" i="1"/>
  <c r="Y13" i="1"/>
  <c r="Z14" i="1"/>
  <c r="Y14" i="1"/>
  <c r="Y15" i="1"/>
  <c r="Y16" i="1"/>
  <c r="Y17" i="1"/>
  <c r="Y18" i="1"/>
  <c r="Y19" i="1"/>
  <c r="Y20" i="1"/>
  <c r="Y23" i="1"/>
  <c r="Y24" i="1"/>
  <c r="Y26" i="1"/>
  <c r="Y27" i="1"/>
  <c r="Y28" i="1"/>
  <c r="Y29" i="1"/>
  <c r="Y30" i="1"/>
  <c r="Y32" i="1"/>
  <c r="Y33" i="1"/>
  <c r="Y34" i="1"/>
  <c r="Y35" i="1"/>
  <c r="Z35" i="1"/>
  <c r="Y36" i="1"/>
  <c r="Y37" i="1"/>
  <c r="Y38" i="1"/>
  <c r="Y39" i="1"/>
  <c r="Y40" i="1"/>
  <c r="Z41" i="1"/>
  <c r="Z40" i="1"/>
  <c r="Z39" i="1"/>
  <c r="Z38" i="1"/>
  <c r="Z37" i="1"/>
  <c r="Z36" i="1"/>
  <c r="Z34" i="1"/>
  <c r="Z32" i="1"/>
  <c r="Z31" i="1"/>
  <c r="Z30" i="1"/>
  <c r="Z29" i="1"/>
  <c r="Z28" i="1"/>
  <c r="Z27" i="1"/>
  <c r="Z26" i="1"/>
  <c r="Z23" i="1"/>
  <c r="Z22" i="1"/>
  <c r="Z20" i="1"/>
  <c r="Z19" i="1"/>
  <c r="Z18" i="1"/>
  <c r="Z17" i="1"/>
  <c r="Z16" i="1"/>
  <c r="Z15" i="1"/>
  <c r="Z13" i="1"/>
  <c r="Z12" i="1"/>
  <c r="Z11" i="1"/>
  <c r="Z9" i="1"/>
  <c r="Z6" i="1"/>
  <c r="Z4" i="1"/>
  <c r="Z3" i="1"/>
  <c r="Y25" i="1"/>
  <c r="X41" i="1"/>
  <c r="X40" i="1"/>
  <c r="AA40" i="1" s="1"/>
  <c r="X39" i="1"/>
  <c r="X38" i="1"/>
  <c r="AA38" i="1" s="1"/>
  <c r="X37" i="1"/>
  <c r="AA37" i="1" s="1"/>
  <c r="X36" i="1"/>
  <c r="AA36" i="1" s="1"/>
  <c r="X35" i="1"/>
  <c r="AA35" i="1" s="1"/>
  <c r="X34" i="1"/>
  <c r="AA34" i="1" s="1"/>
  <c r="X32" i="1"/>
  <c r="AA32" i="1" s="1"/>
  <c r="X30" i="1"/>
  <c r="AA30" i="1" s="1"/>
  <c r="X29" i="1"/>
  <c r="X28" i="1"/>
  <c r="AA28" i="1" s="1"/>
  <c r="X27" i="1"/>
  <c r="AA27" i="1" s="1"/>
  <c r="X26" i="1"/>
  <c r="AA26" i="1" s="1"/>
  <c r="X23" i="1"/>
  <c r="AA23" i="1" s="1"/>
  <c r="X20" i="1"/>
  <c r="AA20" i="1" s="1"/>
  <c r="X19" i="1"/>
  <c r="AA19" i="1" s="1"/>
  <c r="X18" i="1"/>
  <c r="X17" i="1"/>
  <c r="AA17" i="1" s="1"/>
  <c r="X16" i="1"/>
  <c r="AA16" i="1" s="1"/>
  <c r="X15" i="1"/>
  <c r="AA15" i="1" s="1"/>
  <c r="X14" i="1"/>
  <c r="X13" i="1"/>
  <c r="AA13" i="1" s="1"/>
  <c r="X12" i="1"/>
  <c r="X11" i="1"/>
  <c r="AA11" i="1" s="1"/>
  <c r="X9" i="1"/>
  <c r="AA9" i="1" s="1"/>
  <c r="X8" i="1"/>
  <c r="X6" i="1"/>
  <c r="AA6" i="1" s="1"/>
  <c r="X4" i="1"/>
  <c r="AA4" i="1" s="1"/>
  <c r="X3" i="1"/>
  <c r="X25" i="1"/>
  <c r="AA25" i="1" s="1"/>
  <c r="V2" i="1"/>
  <c r="X2" i="1" s="1"/>
  <c r="S42" i="1"/>
  <c r="V7" i="1"/>
  <c r="Y7" i="1" s="1"/>
  <c r="Q42" i="1"/>
  <c r="U42" i="1"/>
  <c r="L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F49" i="1"/>
  <c r="AA8" i="1" l="1"/>
  <c r="X24" i="1"/>
  <c r="AA24" i="1" s="1"/>
  <c r="AA29" i="1"/>
  <c r="X33" i="1"/>
  <c r="AA33" i="1" s="1"/>
  <c r="X21" i="1"/>
  <c r="AA21" i="1" s="1"/>
  <c r="Y21" i="1"/>
  <c r="Y31" i="1"/>
  <c r="AA31" i="1" s="1"/>
  <c r="Y22" i="1"/>
  <c r="AA22" i="1" s="1"/>
  <c r="Y10" i="1"/>
  <c r="AA10" i="1" s="1"/>
  <c r="Y5" i="1"/>
  <c r="AA5" i="1" s="1"/>
  <c r="AA3" i="1"/>
  <c r="AA12" i="1"/>
  <c r="AA41" i="1"/>
  <c r="Z5" i="1"/>
  <c r="Z10" i="1"/>
  <c r="G44" i="1"/>
  <c r="AA14" i="1"/>
  <c r="AA18" i="1"/>
  <c r="AA39" i="1"/>
  <c r="Y2" i="1"/>
  <c r="AA2" i="1" s="1"/>
  <c r="Z7" i="1"/>
  <c r="Z2" i="1"/>
  <c r="X7" i="1"/>
  <c r="AA7" i="1" s="1"/>
  <c r="L42" i="1"/>
  <c r="V42" i="1"/>
  <c r="Z42" i="1" l="1"/>
  <c r="X42" i="1"/>
  <c r="Y42" i="1"/>
  <c r="AA42" i="1" l="1"/>
  <c r="AA43" i="1" s="1"/>
</calcChain>
</file>

<file path=xl/sharedStrings.xml><?xml version="1.0" encoding="utf-8"?>
<sst xmlns="http://schemas.openxmlformats.org/spreadsheetml/2006/main" count="417" uniqueCount="33">
  <si>
    <t>District</t>
  </si>
  <si>
    <t>State Assembly 1</t>
  </si>
  <si>
    <t>State Assembly 2</t>
  </si>
  <si>
    <t>State Senate</t>
  </si>
  <si>
    <t>Dem</t>
  </si>
  <si>
    <t>GOP</t>
  </si>
  <si>
    <t>*</t>
  </si>
  <si>
    <t>**</t>
  </si>
  <si>
    <t>Total homogenous</t>
  </si>
  <si>
    <t>Total different!</t>
  </si>
  <si>
    <t>Assembly Homogeneity</t>
  </si>
  <si>
    <t>Senate-Assembly Homogeneity</t>
  </si>
  <si>
    <t>Percent homogenous</t>
  </si>
  <si>
    <t>Democrat-Assembly</t>
  </si>
  <si>
    <t>Republican-Assembly</t>
  </si>
  <si>
    <t>Total-Assembly</t>
  </si>
  <si>
    <t>Democrat-Senate</t>
  </si>
  <si>
    <t>Total-Senate</t>
  </si>
  <si>
    <t>Democrat-Total</t>
  </si>
  <si>
    <t>Republican-Total</t>
  </si>
  <si>
    <t>Total Voters</t>
  </si>
  <si>
    <t>Other-Assembly</t>
  </si>
  <si>
    <t>Other-Senate</t>
  </si>
  <si>
    <t>Other-Total</t>
  </si>
  <si>
    <t>%Dem</t>
  </si>
  <si>
    <t>%Rep</t>
  </si>
  <si>
    <t>%Other</t>
  </si>
  <si>
    <t>Both Parties Over 25%?</t>
  </si>
  <si>
    <t>Republican-Senate</t>
  </si>
  <si>
    <t>Different!</t>
  </si>
  <si>
    <t>Yes</t>
  </si>
  <si>
    <t>No</t>
  </si>
  <si>
    <t>Homogeneous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</si>
</sst>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1" applyFont="1"/>
    <xf numFmtId="0" fontId="0" fillId="0" borderId="0" xfId="1" applyNumberFormat="1" applyFont="1"/>
    <xf numFmtId="0" fontId="0" fillId="0" borderId="0" xfId="0" applyNumberFormat="1"/>
    <xf numFmtId="10" fontId="0" fillId="0" borderId="0" xfId="1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1" applyNumberFormat="1" applyFont="1" applyBorder="1"/>
    <xf numFmtId="0" fontId="0" fillId="0" borderId="1" xfId="0" applyNumberFormat="1" applyBorder="1"/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topLeftCell="E1" workbookViewId="0">
      <selection activeCell="F16" sqref="F16"/>
    </sheetView>
  </sheetViews>
  <sheetFormatPr defaultRowHeight="14.4" x14ac:dyDescent="0.3"/>
  <cols>
    <col min="3" max="4" width="16.109375" bestFit="1" customWidth="1"/>
    <col min="5" max="5" width="20.109375" bestFit="1" customWidth="1"/>
    <col min="6" max="6" width="22.44140625" bestFit="1" customWidth="1"/>
    <col min="7" max="7" width="29.44140625" bestFit="1" customWidth="1"/>
    <col min="9" max="9" width="19.109375" bestFit="1" customWidth="1"/>
    <col min="10" max="10" width="20.44140625" bestFit="1" customWidth="1"/>
    <col min="11" max="11" width="15.5546875" bestFit="1" customWidth="1"/>
    <col min="12" max="12" width="14.88671875" bestFit="1" customWidth="1"/>
    <col min="14" max="14" width="16.5546875" bestFit="1" customWidth="1"/>
    <col min="15" max="15" width="18" bestFit="1" customWidth="1"/>
    <col min="16" max="16" width="13.109375" bestFit="1" customWidth="1"/>
    <col min="17" max="17" width="12.33203125" bestFit="1" customWidth="1"/>
    <col min="19" max="19" width="14.88671875" bestFit="1" customWidth="1"/>
    <col min="20" max="20" width="16.109375" bestFit="1" customWidth="1"/>
    <col min="21" max="21" width="11.33203125" bestFit="1" customWidth="1"/>
    <col min="22" max="22" width="11.6640625" bestFit="1" customWidth="1"/>
    <col min="27" max="27" width="21.88671875" bestFit="1" customWidth="1"/>
  </cols>
  <sheetData>
    <row r="1" spans="1:27" ht="15" x14ac:dyDescent="0.25">
      <c r="A1" s="7" t="s">
        <v>0</v>
      </c>
      <c r="B1" s="5"/>
      <c r="C1" s="5" t="s">
        <v>1</v>
      </c>
      <c r="D1" s="5" t="s">
        <v>2</v>
      </c>
      <c r="E1" s="5" t="s">
        <v>3</v>
      </c>
      <c r="F1" s="5" t="s">
        <v>10</v>
      </c>
      <c r="G1" s="5" t="s">
        <v>11</v>
      </c>
      <c r="H1" s="5"/>
      <c r="I1" s="8" t="s">
        <v>13</v>
      </c>
      <c r="J1" s="8" t="s">
        <v>14</v>
      </c>
      <c r="K1" s="8" t="s">
        <v>21</v>
      </c>
      <c r="L1" s="8" t="s">
        <v>15</v>
      </c>
      <c r="M1" s="8"/>
      <c r="N1" s="8" t="s">
        <v>16</v>
      </c>
      <c r="O1" s="8" t="s">
        <v>28</v>
      </c>
      <c r="P1" s="8" t="s">
        <v>22</v>
      </c>
      <c r="Q1" s="8" t="s">
        <v>17</v>
      </c>
      <c r="R1" s="9"/>
      <c r="S1" s="8" t="s">
        <v>18</v>
      </c>
      <c r="T1" s="8" t="s">
        <v>19</v>
      </c>
      <c r="U1" s="8" t="s">
        <v>23</v>
      </c>
      <c r="V1" s="8" t="s">
        <v>20</v>
      </c>
      <c r="W1" s="5"/>
      <c r="X1" s="10" t="s">
        <v>24</v>
      </c>
      <c r="Y1" s="10" t="s">
        <v>25</v>
      </c>
      <c r="Z1" s="10" t="s">
        <v>26</v>
      </c>
      <c r="AA1" s="10" t="s">
        <v>27</v>
      </c>
    </row>
    <row r="2" spans="1:27" ht="15" x14ac:dyDescent="0.25">
      <c r="A2" s="6">
        <v>1</v>
      </c>
      <c r="C2" t="s">
        <v>4</v>
      </c>
      <c r="D2" t="s">
        <v>5</v>
      </c>
      <c r="E2" t="s">
        <v>4</v>
      </c>
      <c r="F2" t="s">
        <v>29</v>
      </c>
      <c r="G2" t="s">
        <v>29</v>
      </c>
      <c r="I2">
        <f>SUM(26611, 29958)</f>
        <v>56569</v>
      </c>
      <c r="J2">
        <f>SUM(27539, 25903)</f>
        <v>53442</v>
      </c>
      <c r="L2">
        <f>SUM(I2:K2)</f>
        <v>110011</v>
      </c>
      <c r="N2">
        <v>34624</v>
      </c>
      <c r="O2">
        <v>22835</v>
      </c>
      <c r="P2">
        <v>825</v>
      </c>
      <c r="Q2">
        <f>SUM(N2:P2)</f>
        <v>58284</v>
      </c>
      <c r="S2">
        <f>SUM(I2, N2)</f>
        <v>91193</v>
      </c>
      <c r="T2">
        <f>SUM(J2, O2)</f>
        <v>76277</v>
      </c>
      <c r="U2">
        <f>SUM(K2, P2)</f>
        <v>825</v>
      </c>
      <c r="V2">
        <f>SUM(S2:U2)</f>
        <v>168295</v>
      </c>
      <c r="X2" s="4">
        <f>S2/V2</f>
        <v>0.54186398882913933</v>
      </c>
      <c r="Y2" s="4">
        <f>T2/V2</f>
        <v>0.45323390475058678</v>
      </c>
      <c r="Z2" s="4">
        <f>U2/V2</f>
        <v>4.902106420273924E-3</v>
      </c>
      <c r="AA2" t="s">
        <v>30</v>
      </c>
    </row>
    <row r="3" spans="1:27" ht="15" x14ac:dyDescent="0.25">
      <c r="A3" s="6">
        <v>2</v>
      </c>
      <c r="C3" t="s">
        <v>4</v>
      </c>
      <c r="D3" t="s">
        <v>5</v>
      </c>
      <c r="E3" t="s">
        <v>4</v>
      </c>
      <c r="F3" t="s">
        <v>29</v>
      </c>
      <c r="G3" t="s">
        <v>29</v>
      </c>
      <c r="I3">
        <f>SUM(25164, 23900)</f>
        <v>49064</v>
      </c>
      <c r="J3">
        <f>SUM(25124, 26020)</f>
        <v>51144</v>
      </c>
      <c r="K3">
        <v>1388</v>
      </c>
      <c r="L3">
        <f t="shared" ref="L3:L41" si="0">SUM(I3:K3)</f>
        <v>101596</v>
      </c>
      <c r="N3">
        <v>29333</v>
      </c>
      <c r="O3">
        <v>24006</v>
      </c>
      <c r="Q3">
        <f t="shared" ref="Q3:Q41" si="1">SUM(N3:P3)</f>
        <v>53339</v>
      </c>
      <c r="S3">
        <f t="shared" ref="S3:S41" si="2">SUM(I3, N3)</f>
        <v>78397</v>
      </c>
      <c r="T3">
        <f t="shared" ref="T3:T41" si="3">SUM(J3, O3)</f>
        <v>75150</v>
      </c>
      <c r="U3">
        <f t="shared" ref="U3:U41" si="4">SUM(K3, P3)</f>
        <v>1388</v>
      </c>
      <c r="V3">
        <f t="shared" ref="V3:V42" si="5">SUM(S3:U3)</f>
        <v>154935</v>
      </c>
      <c r="X3" s="4">
        <f t="shared" ref="X3:X42" si="6">S3/V3</f>
        <v>0.50599929002484911</v>
      </c>
      <c r="Y3" s="4">
        <f t="shared" ref="Y3:Y42" si="7">T3/V3</f>
        <v>0.48504211443508566</v>
      </c>
      <c r="Z3" s="4">
        <f t="shared" ref="Z3:Z42" si="8">U3/V3</f>
        <v>8.9585955400651885E-3</v>
      </c>
      <c r="AA3" t="s">
        <v>30</v>
      </c>
    </row>
    <row r="4" spans="1:27" ht="15" x14ac:dyDescent="0.25">
      <c r="A4" s="6">
        <v>3</v>
      </c>
      <c r="C4" t="s">
        <v>4</v>
      </c>
      <c r="D4" t="s">
        <v>4</v>
      </c>
      <c r="E4" t="s">
        <v>4</v>
      </c>
      <c r="F4" t="s">
        <v>32</v>
      </c>
      <c r="G4" t="s">
        <v>32</v>
      </c>
      <c r="I4">
        <f>SUM(31049, 29870)</f>
        <v>60919</v>
      </c>
      <c r="J4">
        <f>SUM(25094, 24823)</f>
        <v>49917</v>
      </c>
      <c r="L4">
        <f t="shared" si="0"/>
        <v>110836</v>
      </c>
      <c r="N4">
        <v>31045</v>
      </c>
      <c r="O4">
        <v>25599</v>
      </c>
      <c r="Q4">
        <f t="shared" si="1"/>
        <v>56644</v>
      </c>
      <c r="S4">
        <f t="shared" si="2"/>
        <v>91964</v>
      </c>
      <c r="T4">
        <f t="shared" si="3"/>
        <v>75516</v>
      </c>
      <c r="U4">
        <f t="shared" si="4"/>
        <v>0</v>
      </c>
      <c r="V4">
        <f t="shared" si="5"/>
        <v>167480</v>
      </c>
      <c r="X4" s="4">
        <f t="shared" si="6"/>
        <v>0.54910437067112494</v>
      </c>
      <c r="Y4" s="4">
        <f t="shared" si="7"/>
        <v>0.45089562932887511</v>
      </c>
      <c r="Z4" s="4">
        <f t="shared" si="8"/>
        <v>0</v>
      </c>
      <c r="AA4" t="s">
        <v>30</v>
      </c>
    </row>
    <row r="5" spans="1:27" ht="15" x14ac:dyDescent="0.25">
      <c r="A5" s="6">
        <v>4</v>
      </c>
      <c r="C5" t="s">
        <v>4</v>
      </c>
      <c r="D5" t="s">
        <v>4</v>
      </c>
      <c r="E5" t="s">
        <v>4</v>
      </c>
      <c r="F5" t="s">
        <v>32</v>
      </c>
      <c r="G5" t="s">
        <v>32</v>
      </c>
      <c r="I5">
        <f>SUM(28527, 27095)</f>
        <v>55622</v>
      </c>
      <c r="J5">
        <f>SUM(21702, 20998)</f>
        <v>42700</v>
      </c>
      <c r="L5">
        <f t="shared" si="0"/>
        <v>98322</v>
      </c>
      <c r="N5">
        <v>29439</v>
      </c>
      <c r="O5">
        <v>21376</v>
      </c>
      <c r="Q5">
        <f t="shared" si="1"/>
        <v>50815</v>
      </c>
      <c r="S5">
        <f t="shared" si="2"/>
        <v>85061</v>
      </c>
      <c r="T5">
        <f t="shared" si="3"/>
        <v>64076</v>
      </c>
      <c r="U5">
        <f t="shared" si="4"/>
        <v>0</v>
      </c>
      <c r="V5">
        <f t="shared" si="5"/>
        <v>149137</v>
      </c>
      <c r="X5" s="4">
        <f t="shared" si="6"/>
        <v>0.57035477446911231</v>
      </c>
      <c r="Y5" s="4">
        <f t="shared" si="7"/>
        <v>0.42964522553088769</v>
      </c>
      <c r="Z5" s="4">
        <f t="shared" si="8"/>
        <v>0</v>
      </c>
      <c r="AA5" t="s">
        <v>30</v>
      </c>
    </row>
    <row r="6" spans="1:27" ht="15" x14ac:dyDescent="0.25">
      <c r="A6" s="6">
        <v>5</v>
      </c>
      <c r="C6" t="s">
        <v>4</v>
      </c>
      <c r="D6" t="s">
        <v>4</v>
      </c>
      <c r="E6" t="s">
        <v>4</v>
      </c>
      <c r="F6" t="s">
        <v>32</v>
      </c>
      <c r="G6" t="s">
        <v>32</v>
      </c>
      <c r="I6">
        <f>SUM(25167, 24761)</f>
        <v>49928</v>
      </c>
      <c r="J6">
        <f>SUM(17774, 17037)</f>
        <v>34811</v>
      </c>
      <c r="L6">
        <f t="shared" si="0"/>
        <v>84739</v>
      </c>
      <c r="N6">
        <v>25383</v>
      </c>
      <c r="O6">
        <v>18448</v>
      </c>
      <c r="Q6">
        <f t="shared" si="1"/>
        <v>43831</v>
      </c>
      <c r="S6">
        <f t="shared" si="2"/>
        <v>75311</v>
      </c>
      <c r="T6">
        <f t="shared" si="3"/>
        <v>53259</v>
      </c>
      <c r="U6">
        <f t="shared" si="4"/>
        <v>0</v>
      </c>
      <c r="V6">
        <f t="shared" si="5"/>
        <v>128570</v>
      </c>
      <c r="X6" s="4">
        <f t="shared" si="6"/>
        <v>0.58575873065256279</v>
      </c>
      <c r="Y6" s="4">
        <f t="shared" si="7"/>
        <v>0.41424126934743721</v>
      </c>
      <c r="Z6" s="4">
        <f t="shared" si="8"/>
        <v>0</v>
      </c>
      <c r="AA6" t="s">
        <v>30</v>
      </c>
    </row>
    <row r="7" spans="1:27" ht="15" x14ac:dyDescent="0.25">
      <c r="A7" s="6">
        <v>6</v>
      </c>
      <c r="C7" t="s">
        <v>4</v>
      </c>
      <c r="D7" t="s">
        <v>4</v>
      </c>
      <c r="E7" t="s">
        <v>4</v>
      </c>
      <c r="F7" t="s">
        <v>32</v>
      </c>
      <c r="G7" t="s">
        <v>32</v>
      </c>
      <c r="I7">
        <f>SUM(33232, 31366)</f>
        <v>64598</v>
      </c>
      <c r="J7">
        <f>SUM(22147, 21399)</f>
        <v>43546</v>
      </c>
      <c r="L7">
        <f t="shared" si="0"/>
        <v>108144</v>
      </c>
      <c r="N7">
        <v>34847</v>
      </c>
      <c r="O7">
        <v>20080</v>
      </c>
      <c r="Q7">
        <f t="shared" si="1"/>
        <v>54927</v>
      </c>
      <c r="S7">
        <f t="shared" si="2"/>
        <v>99445</v>
      </c>
      <c r="T7">
        <f t="shared" si="3"/>
        <v>63626</v>
      </c>
      <c r="U7">
        <f t="shared" si="4"/>
        <v>0</v>
      </c>
      <c r="V7">
        <f t="shared" si="5"/>
        <v>163071</v>
      </c>
      <c r="X7" s="4">
        <f t="shared" si="6"/>
        <v>0.60982639463791843</v>
      </c>
      <c r="Y7" s="4">
        <f t="shared" si="7"/>
        <v>0.39017360536208157</v>
      </c>
      <c r="Z7" s="4">
        <f t="shared" si="8"/>
        <v>0</v>
      </c>
      <c r="AA7" t="s">
        <v>30</v>
      </c>
    </row>
    <row r="8" spans="1:27" ht="15" x14ac:dyDescent="0.25">
      <c r="A8" s="6">
        <v>7</v>
      </c>
      <c r="C8" t="s">
        <v>4</v>
      </c>
      <c r="D8" t="s">
        <v>4</v>
      </c>
      <c r="E8" t="s">
        <v>5</v>
      </c>
      <c r="F8" t="s">
        <v>32</v>
      </c>
      <c r="G8" t="s">
        <v>29</v>
      </c>
      <c r="I8">
        <f>SUM(34978, 34772)</f>
        <v>69750</v>
      </c>
      <c r="J8">
        <f>SUM(27991, 27233)</f>
        <v>55224</v>
      </c>
      <c r="L8">
        <f t="shared" si="0"/>
        <v>124974</v>
      </c>
      <c r="N8">
        <v>25106</v>
      </c>
      <c r="O8">
        <v>38350</v>
      </c>
      <c r="Q8">
        <f t="shared" si="1"/>
        <v>63456</v>
      </c>
      <c r="S8">
        <f t="shared" si="2"/>
        <v>94856</v>
      </c>
      <c r="T8">
        <f t="shared" si="3"/>
        <v>93574</v>
      </c>
      <c r="U8">
        <f t="shared" si="4"/>
        <v>0</v>
      </c>
      <c r="V8">
        <f t="shared" si="5"/>
        <v>188430</v>
      </c>
      <c r="X8" s="4">
        <f t="shared" si="6"/>
        <v>0.50340179376956962</v>
      </c>
      <c r="Y8" s="4">
        <f t="shared" si="7"/>
        <v>0.49659820623043038</v>
      </c>
      <c r="Z8" s="4">
        <f t="shared" si="8"/>
        <v>0</v>
      </c>
      <c r="AA8" t="s">
        <v>30</v>
      </c>
    </row>
    <row r="9" spans="1:27" ht="15" x14ac:dyDescent="0.25">
      <c r="A9" s="6">
        <v>8</v>
      </c>
      <c r="C9" t="s">
        <v>5</v>
      </c>
      <c r="D9" t="s">
        <v>5</v>
      </c>
      <c r="E9" t="s">
        <v>5</v>
      </c>
      <c r="F9" t="s">
        <v>32</v>
      </c>
      <c r="G9" t="s">
        <v>32</v>
      </c>
      <c r="I9">
        <f>SUM(22461, 21665)</f>
        <v>44126</v>
      </c>
      <c r="J9">
        <f>SUM(34293, 32360)</f>
        <v>66653</v>
      </c>
      <c r="L9">
        <f t="shared" si="0"/>
        <v>110779</v>
      </c>
      <c r="N9">
        <v>20633</v>
      </c>
      <c r="O9">
        <v>35894</v>
      </c>
      <c r="Q9">
        <f t="shared" si="1"/>
        <v>56527</v>
      </c>
      <c r="S9">
        <f t="shared" si="2"/>
        <v>64759</v>
      </c>
      <c r="T9">
        <f t="shared" si="3"/>
        <v>102547</v>
      </c>
      <c r="U9">
        <f t="shared" si="4"/>
        <v>0</v>
      </c>
      <c r="V9">
        <f t="shared" si="5"/>
        <v>167306</v>
      </c>
      <c r="X9" s="4">
        <f t="shared" si="6"/>
        <v>0.38706920253906019</v>
      </c>
      <c r="Y9" s="4">
        <f t="shared" si="7"/>
        <v>0.61293079746093981</v>
      </c>
      <c r="Z9" s="4">
        <f t="shared" si="8"/>
        <v>0</v>
      </c>
      <c r="AA9" t="s">
        <v>30</v>
      </c>
    </row>
    <row r="10" spans="1:27" ht="15" x14ac:dyDescent="0.25">
      <c r="A10" s="6">
        <v>9</v>
      </c>
      <c r="C10" t="s">
        <v>5</v>
      </c>
      <c r="D10" t="s">
        <v>5</v>
      </c>
      <c r="E10" t="s">
        <v>5</v>
      </c>
      <c r="F10" t="s">
        <v>32</v>
      </c>
      <c r="G10" t="s">
        <v>32</v>
      </c>
      <c r="I10">
        <f>SUM(18872, 20354)</f>
        <v>39226</v>
      </c>
      <c r="J10">
        <f>SUM(45690, 43695)</f>
        <v>89385</v>
      </c>
      <c r="L10">
        <f t="shared" si="0"/>
        <v>128611</v>
      </c>
      <c r="N10">
        <v>19365</v>
      </c>
      <c r="O10">
        <v>46949</v>
      </c>
      <c r="Q10">
        <f t="shared" si="1"/>
        <v>66314</v>
      </c>
      <c r="S10">
        <f t="shared" si="2"/>
        <v>58591</v>
      </c>
      <c r="T10">
        <f t="shared" si="3"/>
        <v>136334</v>
      </c>
      <c r="U10">
        <f t="shared" si="4"/>
        <v>0</v>
      </c>
      <c r="V10">
        <f t="shared" si="5"/>
        <v>194925</v>
      </c>
      <c r="X10" s="4">
        <f t="shared" si="6"/>
        <v>0.30058227523406439</v>
      </c>
      <c r="Y10" s="4">
        <f t="shared" si="7"/>
        <v>0.69941772476593567</v>
      </c>
      <c r="Z10" s="4">
        <f t="shared" si="8"/>
        <v>0</v>
      </c>
      <c r="AA10" t="s">
        <v>30</v>
      </c>
    </row>
    <row r="11" spans="1:27" ht="15" x14ac:dyDescent="0.25">
      <c r="A11" s="6">
        <v>10</v>
      </c>
      <c r="C11" t="s">
        <v>5</v>
      </c>
      <c r="D11" t="s">
        <v>5</v>
      </c>
      <c r="E11" t="s">
        <v>5</v>
      </c>
      <c r="F11" t="s">
        <v>32</v>
      </c>
      <c r="G11" t="s">
        <v>32</v>
      </c>
      <c r="I11">
        <f>SUM(20647, 19658)</f>
        <v>40305</v>
      </c>
      <c r="J11">
        <f>SUM(44627, 42586)</f>
        <v>87213</v>
      </c>
      <c r="L11">
        <f t="shared" si="0"/>
        <v>127518</v>
      </c>
      <c r="N11">
        <v>19807</v>
      </c>
      <c r="O11">
        <v>45565</v>
      </c>
      <c r="Q11">
        <f t="shared" si="1"/>
        <v>65372</v>
      </c>
      <c r="S11">
        <f t="shared" si="2"/>
        <v>60112</v>
      </c>
      <c r="T11">
        <f t="shared" si="3"/>
        <v>132778</v>
      </c>
      <c r="U11">
        <f t="shared" si="4"/>
        <v>0</v>
      </c>
      <c r="V11">
        <f t="shared" si="5"/>
        <v>192890</v>
      </c>
      <c r="X11" s="4">
        <f t="shared" si="6"/>
        <v>0.31163875784125666</v>
      </c>
      <c r="Y11" s="4">
        <f t="shared" si="7"/>
        <v>0.68836124215874328</v>
      </c>
      <c r="Z11" s="4">
        <f t="shared" si="8"/>
        <v>0</v>
      </c>
      <c r="AA11" t="s">
        <v>30</v>
      </c>
    </row>
    <row r="12" spans="1:27" ht="15" x14ac:dyDescent="0.25">
      <c r="A12" s="6">
        <v>11</v>
      </c>
      <c r="C12" t="s">
        <v>5</v>
      </c>
      <c r="D12" t="s">
        <v>5</v>
      </c>
      <c r="E12" t="s">
        <v>5</v>
      </c>
      <c r="F12" t="s">
        <v>32</v>
      </c>
      <c r="G12" t="s">
        <v>32</v>
      </c>
      <c r="I12">
        <f>SUM(19968, 20406)</f>
        <v>40374</v>
      </c>
      <c r="J12">
        <f>SUM(29842, 28827)</f>
        <v>58669</v>
      </c>
      <c r="L12">
        <f t="shared" si="0"/>
        <v>99043</v>
      </c>
      <c r="N12">
        <v>19735</v>
      </c>
      <c r="O12">
        <v>30531</v>
      </c>
      <c r="Q12">
        <f t="shared" si="1"/>
        <v>50266</v>
      </c>
      <c r="S12">
        <f t="shared" si="2"/>
        <v>60109</v>
      </c>
      <c r="T12">
        <f t="shared" si="3"/>
        <v>89200</v>
      </c>
      <c r="U12">
        <f t="shared" si="4"/>
        <v>0</v>
      </c>
      <c r="V12">
        <f t="shared" si="5"/>
        <v>149309</v>
      </c>
      <c r="X12" s="4">
        <f t="shared" si="6"/>
        <v>0.40258122417268888</v>
      </c>
      <c r="Y12" s="4">
        <f t="shared" si="7"/>
        <v>0.59741877582731118</v>
      </c>
      <c r="Z12" s="4">
        <f t="shared" si="8"/>
        <v>0</v>
      </c>
      <c r="AA12" t="s">
        <v>30</v>
      </c>
    </row>
    <row r="13" spans="1:27" ht="15" x14ac:dyDescent="0.25">
      <c r="A13" s="6">
        <v>12</v>
      </c>
      <c r="C13" t="s">
        <v>5</v>
      </c>
      <c r="D13" t="s">
        <v>5</v>
      </c>
      <c r="E13" t="s">
        <v>5</v>
      </c>
      <c r="F13" t="s">
        <v>32</v>
      </c>
      <c r="G13" t="s">
        <v>32</v>
      </c>
      <c r="I13">
        <f>17119+16312</f>
        <v>33431</v>
      </c>
      <c r="J13">
        <f>32188+31059</f>
        <v>63247</v>
      </c>
      <c r="K13">
        <v>1354</v>
      </c>
      <c r="L13">
        <f t="shared" si="0"/>
        <v>98032</v>
      </c>
      <c r="N13">
        <v>17440</v>
      </c>
      <c r="O13">
        <v>32911</v>
      </c>
      <c r="Q13">
        <f t="shared" si="1"/>
        <v>50351</v>
      </c>
      <c r="S13">
        <f t="shared" si="2"/>
        <v>50871</v>
      </c>
      <c r="T13">
        <f t="shared" si="3"/>
        <v>96158</v>
      </c>
      <c r="U13">
        <f t="shared" si="4"/>
        <v>1354</v>
      </c>
      <c r="V13">
        <f t="shared" si="5"/>
        <v>148383</v>
      </c>
      <c r="X13" s="4">
        <f t="shared" si="6"/>
        <v>0.34283576959624756</v>
      </c>
      <c r="Y13" s="4">
        <f t="shared" si="7"/>
        <v>0.64803919586475545</v>
      </c>
      <c r="Z13" s="4">
        <f t="shared" si="8"/>
        <v>9.1250345389970542E-3</v>
      </c>
      <c r="AA13" t="s">
        <v>30</v>
      </c>
    </row>
    <row r="14" spans="1:27" ht="15" x14ac:dyDescent="0.25">
      <c r="A14" s="6">
        <v>13</v>
      </c>
      <c r="C14" t="s">
        <v>5</v>
      </c>
      <c r="D14" t="s">
        <v>5</v>
      </c>
      <c r="E14" t="s">
        <v>5</v>
      </c>
      <c r="F14" t="s">
        <v>32</v>
      </c>
      <c r="G14" t="s">
        <v>32</v>
      </c>
      <c r="I14">
        <f>19623+18843</f>
        <v>38466</v>
      </c>
      <c r="J14">
        <f>38795+37577</f>
        <v>76372</v>
      </c>
      <c r="K14">
        <v>796</v>
      </c>
      <c r="L14">
        <f t="shared" si="0"/>
        <v>115634</v>
      </c>
      <c r="N14">
        <v>18289</v>
      </c>
      <c r="O14">
        <v>40762</v>
      </c>
      <c r="P14">
        <v>774</v>
      </c>
      <c r="Q14">
        <f t="shared" si="1"/>
        <v>59825</v>
      </c>
      <c r="S14">
        <f t="shared" si="2"/>
        <v>56755</v>
      </c>
      <c r="T14">
        <f t="shared" si="3"/>
        <v>117134</v>
      </c>
      <c r="U14">
        <f t="shared" si="4"/>
        <v>1570</v>
      </c>
      <c r="V14">
        <f t="shared" si="5"/>
        <v>175459</v>
      </c>
      <c r="X14" s="4">
        <f t="shared" si="6"/>
        <v>0.32346588091804923</v>
      </c>
      <c r="Y14" s="4">
        <f t="shared" si="7"/>
        <v>0.66758615972962343</v>
      </c>
      <c r="Z14" s="4">
        <f t="shared" si="8"/>
        <v>8.9479593523273237E-3</v>
      </c>
      <c r="AA14" t="s">
        <v>30</v>
      </c>
    </row>
    <row r="15" spans="1:27" ht="15" x14ac:dyDescent="0.25">
      <c r="A15" s="6">
        <v>14</v>
      </c>
      <c r="C15" t="s">
        <v>4</v>
      </c>
      <c r="D15" t="s">
        <v>4</v>
      </c>
      <c r="E15" t="s">
        <v>4</v>
      </c>
      <c r="F15" t="s">
        <v>32</v>
      </c>
      <c r="G15" t="s">
        <v>32</v>
      </c>
      <c r="I15">
        <f>32048+30992</f>
        <v>63040</v>
      </c>
      <c r="J15">
        <f>26233+28135</f>
        <v>54368</v>
      </c>
      <c r="K15">
        <f>898+779</f>
        <v>1677</v>
      </c>
      <c r="L15">
        <f t="shared" si="0"/>
        <v>119085</v>
      </c>
      <c r="N15">
        <v>31387</v>
      </c>
      <c r="O15">
        <v>29903</v>
      </c>
      <c r="P15">
        <v>1014</v>
      </c>
      <c r="Q15">
        <f t="shared" si="1"/>
        <v>62304</v>
      </c>
      <c r="S15">
        <f t="shared" si="2"/>
        <v>94427</v>
      </c>
      <c r="T15">
        <f t="shared" si="3"/>
        <v>84271</v>
      </c>
      <c r="U15">
        <f t="shared" si="4"/>
        <v>2691</v>
      </c>
      <c r="V15">
        <f t="shared" si="5"/>
        <v>181389</v>
      </c>
      <c r="X15" s="4">
        <f t="shared" si="6"/>
        <v>0.52057732277039948</v>
      </c>
      <c r="Y15" s="4">
        <f t="shared" si="7"/>
        <v>0.46458715798642697</v>
      </c>
      <c r="Z15" s="4">
        <f t="shared" si="8"/>
        <v>1.4835519243173511E-2</v>
      </c>
      <c r="AA15" t="s">
        <v>30</v>
      </c>
    </row>
    <row r="16" spans="1:27" ht="15" x14ac:dyDescent="0.25">
      <c r="A16" s="6">
        <v>15</v>
      </c>
      <c r="C16" t="s">
        <v>4</v>
      </c>
      <c r="D16" t="s">
        <v>4</v>
      </c>
      <c r="E16" t="s">
        <v>4</v>
      </c>
      <c r="F16" t="s">
        <v>32</v>
      </c>
      <c r="G16" t="s">
        <v>32</v>
      </c>
      <c r="I16">
        <f>28848+29109</f>
        <v>57957</v>
      </c>
      <c r="J16">
        <f>17310+17429</f>
        <v>34739</v>
      </c>
      <c r="L16">
        <f t="shared" si="0"/>
        <v>92696</v>
      </c>
      <c r="N16">
        <v>30250</v>
      </c>
      <c r="O16">
        <v>17507</v>
      </c>
      <c r="Q16">
        <f t="shared" si="1"/>
        <v>47757</v>
      </c>
      <c r="S16">
        <f t="shared" si="2"/>
        <v>88207</v>
      </c>
      <c r="T16">
        <f t="shared" si="3"/>
        <v>52246</v>
      </c>
      <c r="U16">
        <f t="shared" si="4"/>
        <v>0</v>
      </c>
      <c r="V16">
        <f t="shared" si="5"/>
        <v>140453</v>
      </c>
      <c r="X16" s="4">
        <f t="shared" si="6"/>
        <v>0.62801791346571456</v>
      </c>
      <c r="Y16" s="4">
        <f t="shared" si="7"/>
        <v>0.37198208653428549</v>
      </c>
      <c r="Z16" s="4">
        <f t="shared" si="8"/>
        <v>0</v>
      </c>
      <c r="AA16" t="s">
        <v>30</v>
      </c>
    </row>
    <row r="17" spans="1:27" ht="15" x14ac:dyDescent="0.25">
      <c r="A17" s="6">
        <v>16</v>
      </c>
      <c r="C17" t="s">
        <v>5</v>
      </c>
      <c r="D17" t="s">
        <v>5</v>
      </c>
      <c r="E17" t="s">
        <v>5</v>
      </c>
      <c r="F17" t="s">
        <v>32</v>
      </c>
      <c r="G17" t="s">
        <v>32</v>
      </c>
      <c r="I17">
        <f>25112+23682</f>
        <v>48794</v>
      </c>
      <c r="J17">
        <f>32125+31543</f>
        <v>63668</v>
      </c>
      <c r="K17">
        <v>1202</v>
      </c>
      <c r="L17">
        <f t="shared" si="0"/>
        <v>113664</v>
      </c>
      <c r="N17">
        <v>22990</v>
      </c>
      <c r="O17">
        <v>34865</v>
      </c>
      <c r="Q17">
        <f t="shared" si="1"/>
        <v>57855</v>
      </c>
      <c r="S17">
        <f t="shared" si="2"/>
        <v>71784</v>
      </c>
      <c r="T17">
        <f t="shared" si="3"/>
        <v>98533</v>
      </c>
      <c r="U17">
        <f t="shared" si="4"/>
        <v>1202</v>
      </c>
      <c r="V17">
        <f t="shared" si="5"/>
        <v>171519</v>
      </c>
      <c r="X17" s="4">
        <f t="shared" si="6"/>
        <v>0.4185192311055918</v>
      </c>
      <c r="Y17" s="4">
        <f t="shared" si="7"/>
        <v>0.57447279893189673</v>
      </c>
      <c r="Z17" s="4">
        <f t="shared" si="8"/>
        <v>7.0079699625114423E-3</v>
      </c>
      <c r="AA17" t="s">
        <v>30</v>
      </c>
    </row>
    <row r="18" spans="1:27" ht="15" x14ac:dyDescent="0.25">
      <c r="A18" s="6">
        <v>17</v>
      </c>
      <c r="C18" t="s">
        <v>4</v>
      </c>
      <c r="D18" t="s">
        <v>4</v>
      </c>
      <c r="E18" t="s">
        <v>4</v>
      </c>
      <c r="F18" t="s">
        <v>32</v>
      </c>
      <c r="G18" t="s">
        <v>32</v>
      </c>
      <c r="I18">
        <f>23763+23331</f>
        <v>47094</v>
      </c>
      <c r="J18">
        <f>13762+12281</f>
        <v>26043</v>
      </c>
      <c r="L18">
        <f t="shared" si="0"/>
        <v>73137</v>
      </c>
      <c r="N18">
        <v>22920</v>
      </c>
      <c r="O18">
        <v>15403</v>
      </c>
      <c r="Q18">
        <f t="shared" si="1"/>
        <v>38323</v>
      </c>
      <c r="S18">
        <f t="shared" si="2"/>
        <v>70014</v>
      </c>
      <c r="T18">
        <f t="shared" si="3"/>
        <v>41446</v>
      </c>
      <c r="U18">
        <f t="shared" si="4"/>
        <v>0</v>
      </c>
      <c r="V18">
        <f t="shared" si="5"/>
        <v>111460</v>
      </c>
      <c r="X18" s="4">
        <f t="shared" si="6"/>
        <v>0.62815359770321189</v>
      </c>
      <c r="Y18" s="4">
        <f t="shared" si="7"/>
        <v>0.37184640229678806</v>
      </c>
      <c r="Z18" s="4">
        <f t="shared" si="8"/>
        <v>0</v>
      </c>
      <c r="AA18" t="s">
        <v>30</v>
      </c>
    </row>
    <row r="19" spans="1:27" ht="15" x14ac:dyDescent="0.25">
      <c r="A19" s="6">
        <v>18</v>
      </c>
      <c r="C19" t="s">
        <v>4</v>
      </c>
      <c r="D19" t="s">
        <v>4</v>
      </c>
      <c r="E19" t="s">
        <v>4</v>
      </c>
      <c r="F19" t="s">
        <v>32</v>
      </c>
      <c r="G19" t="s">
        <v>32</v>
      </c>
      <c r="I19">
        <f>24996+24186</f>
        <v>49182</v>
      </c>
      <c r="J19">
        <f>21517+20559</f>
        <v>42076</v>
      </c>
      <c r="K19">
        <v>1068</v>
      </c>
      <c r="L19">
        <f t="shared" si="0"/>
        <v>92326</v>
      </c>
      <c r="N19">
        <v>25063</v>
      </c>
      <c r="O19">
        <v>23184</v>
      </c>
      <c r="Q19">
        <f t="shared" si="1"/>
        <v>48247</v>
      </c>
      <c r="S19">
        <f t="shared" si="2"/>
        <v>74245</v>
      </c>
      <c r="T19">
        <f t="shared" si="3"/>
        <v>65260</v>
      </c>
      <c r="U19">
        <f t="shared" si="4"/>
        <v>1068</v>
      </c>
      <c r="V19">
        <f t="shared" si="5"/>
        <v>140573</v>
      </c>
      <c r="X19" s="4">
        <f t="shared" si="6"/>
        <v>0.52815974618169914</v>
      </c>
      <c r="Y19" s="4">
        <f t="shared" si="7"/>
        <v>0.46424277777382572</v>
      </c>
      <c r="Z19" s="4">
        <f t="shared" si="8"/>
        <v>7.5974760444751125E-3</v>
      </c>
      <c r="AA19" t="s">
        <v>30</v>
      </c>
    </row>
    <row r="20" spans="1:27" ht="15" x14ac:dyDescent="0.25">
      <c r="A20" s="6">
        <v>19</v>
      </c>
      <c r="C20" t="s">
        <v>4</v>
      </c>
      <c r="D20" t="s">
        <v>4</v>
      </c>
      <c r="E20" t="s">
        <v>4</v>
      </c>
      <c r="F20" t="s">
        <v>32</v>
      </c>
      <c r="G20" t="s">
        <v>32</v>
      </c>
      <c r="I20">
        <f>22393+24404</f>
        <v>46797</v>
      </c>
      <c r="J20">
        <f>12151+13406</f>
        <v>25557</v>
      </c>
      <c r="L20">
        <f t="shared" si="0"/>
        <v>72354</v>
      </c>
      <c r="N20">
        <v>24126</v>
      </c>
      <c r="O20">
        <v>14439</v>
      </c>
      <c r="Q20">
        <f t="shared" si="1"/>
        <v>38565</v>
      </c>
      <c r="S20">
        <f t="shared" si="2"/>
        <v>70923</v>
      </c>
      <c r="T20">
        <f t="shared" si="3"/>
        <v>39996</v>
      </c>
      <c r="U20">
        <f t="shared" si="4"/>
        <v>0</v>
      </c>
      <c r="V20">
        <f t="shared" si="5"/>
        <v>110919</v>
      </c>
      <c r="X20" s="4">
        <f t="shared" si="6"/>
        <v>0.63941254428907579</v>
      </c>
      <c r="Y20" s="4">
        <f t="shared" si="7"/>
        <v>0.36058745571092421</v>
      </c>
      <c r="Z20" s="4">
        <f t="shared" si="8"/>
        <v>0</v>
      </c>
      <c r="AA20" t="s">
        <v>30</v>
      </c>
    </row>
    <row r="21" spans="1:27" ht="15" x14ac:dyDescent="0.25">
      <c r="A21" s="6">
        <v>20</v>
      </c>
      <c r="C21" t="s">
        <v>4</v>
      </c>
      <c r="D21" t="s">
        <v>4</v>
      </c>
      <c r="E21" t="s">
        <v>4</v>
      </c>
      <c r="F21" t="s">
        <v>32</v>
      </c>
      <c r="G21" t="s">
        <v>32</v>
      </c>
      <c r="I21">
        <f>19268+18839</f>
        <v>38107</v>
      </c>
      <c r="J21">
        <f>7719+7269</f>
        <v>14988</v>
      </c>
      <c r="L21">
        <f t="shared" si="0"/>
        <v>53095</v>
      </c>
      <c r="N21">
        <v>21251</v>
      </c>
      <c r="Q21">
        <f t="shared" si="1"/>
        <v>21251</v>
      </c>
      <c r="S21">
        <f t="shared" si="2"/>
        <v>59358</v>
      </c>
      <c r="T21">
        <f t="shared" si="3"/>
        <v>14988</v>
      </c>
      <c r="U21">
        <f t="shared" si="4"/>
        <v>0</v>
      </c>
      <c r="V21">
        <f t="shared" si="5"/>
        <v>74346</v>
      </c>
      <c r="X21" s="4">
        <f t="shared" si="6"/>
        <v>0.79840206601565655</v>
      </c>
      <c r="Y21" s="4">
        <f t="shared" si="7"/>
        <v>0.20159793398434347</v>
      </c>
      <c r="Z21" s="4">
        <f t="shared" si="8"/>
        <v>0</v>
      </c>
      <c r="AA21" t="s">
        <v>31</v>
      </c>
    </row>
    <row r="22" spans="1:27" ht="15" x14ac:dyDescent="0.25">
      <c r="A22" s="6">
        <v>21</v>
      </c>
      <c r="C22" t="s">
        <v>5</v>
      </c>
      <c r="D22" t="s">
        <v>5</v>
      </c>
      <c r="E22" t="s">
        <v>5</v>
      </c>
      <c r="F22" t="s">
        <v>32</v>
      </c>
      <c r="G22" t="s">
        <v>32</v>
      </c>
      <c r="I22">
        <f>20045+21129</f>
        <v>41174</v>
      </c>
      <c r="J22">
        <f>38556+37314</f>
        <v>75870</v>
      </c>
      <c r="L22">
        <f t="shared" si="0"/>
        <v>117044</v>
      </c>
      <c r="N22">
        <v>18517</v>
      </c>
      <c r="O22">
        <v>42423</v>
      </c>
      <c r="Q22">
        <f t="shared" si="1"/>
        <v>60940</v>
      </c>
      <c r="S22">
        <f t="shared" si="2"/>
        <v>59691</v>
      </c>
      <c r="T22">
        <f t="shared" si="3"/>
        <v>118293</v>
      </c>
      <c r="U22">
        <f t="shared" si="4"/>
        <v>0</v>
      </c>
      <c r="V22">
        <f t="shared" si="5"/>
        <v>177984</v>
      </c>
      <c r="X22" s="4">
        <f t="shared" si="6"/>
        <v>0.33537284250269689</v>
      </c>
      <c r="Y22" s="4">
        <f t="shared" si="7"/>
        <v>0.66462715749730317</v>
      </c>
      <c r="Z22" s="4">
        <f t="shared" si="8"/>
        <v>0</v>
      </c>
      <c r="AA22" t="s">
        <v>30</v>
      </c>
    </row>
    <row r="23" spans="1:27" ht="15" x14ac:dyDescent="0.25">
      <c r="A23" s="6">
        <v>22</v>
      </c>
      <c r="C23" t="s">
        <v>4</v>
      </c>
      <c r="D23" t="s">
        <v>4</v>
      </c>
      <c r="E23" t="s">
        <v>4</v>
      </c>
      <c r="F23" t="s">
        <v>32</v>
      </c>
      <c r="G23" t="s">
        <v>32</v>
      </c>
      <c r="I23">
        <f>23168+23242</f>
        <v>46410</v>
      </c>
      <c r="J23">
        <f>16965+18826</f>
        <v>35791</v>
      </c>
      <c r="L23">
        <f t="shared" si="0"/>
        <v>82201</v>
      </c>
      <c r="N23">
        <v>24899</v>
      </c>
      <c r="O23">
        <v>16933</v>
      </c>
      <c r="Q23">
        <f t="shared" si="1"/>
        <v>41832</v>
      </c>
      <c r="S23">
        <f t="shared" si="2"/>
        <v>71309</v>
      </c>
      <c r="T23">
        <f t="shared" si="3"/>
        <v>52724</v>
      </c>
      <c r="U23">
        <f t="shared" si="4"/>
        <v>0</v>
      </c>
      <c r="V23">
        <f t="shared" si="5"/>
        <v>124033</v>
      </c>
      <c r="X23" s="4">
        <f t="shared" si="6"/>
        <v>0.57491957785428072</v>
      </c>
      <c r="Y23" s="4">
        <f t="shared" si="7"/>
        <v>0.42508042214571928</v>
      </c>
      <c r="Z23" s="4">
        <f t="shared" si="8"/>
        <v>0</v>
      </c>
      <c r="AA23" t="s">
        <v>30</v>
      </c>
    </row>
    <row r="24" spans="1:27" ht="15" x14ac:dyDescent="0.25">
      <c r="A24" s="6">
        <v>23</v>
      </c>
      <c r="C24" t="s">
        <v>5</v>
      </c>
      <c r="D24" t="s">
        <v>5</v>
      </c>
      <c r="E24" t="s">
        <v>5</v>
      </c>
      <c r="F24" t="s">
        <v>32</v>
      </c>
      <c r="G24" t="s">
        <v>32</v>
      </c>
      <c r="I24">
        <f>17828+16548</f>
        <v>34376</v>
      </c>
      <c r="J24">
        <f>35604+35458</f>
        <v>71062</v>
      </c>
      <c r="L24">
        <f t="shared" si="0"/>
        <v>105438</v>
      </c>
      <c r="N24">
        <v>17311</v>
      </c>
      <c r="O24">
        <v>37477</v>
      </c>
      <c r="P24">
        <v>672</v>
      </c>
      <c r="Q24">
        <f t="shared" si="1"/>
        <v>55460</v>
      </c>
      <c r="S24">
        <f t="shared" si="2"/>
        <v>51687</v>
      </c>
      <c r="T24">
        <f t="shared" si="3"/>
        <v>108539</v>
      </c>
      <c r="U24">
        <f t="shared" si="4"/>
        <v>672</v>
      </c>
      <c r="V24">
        <f t="shared" si="5"/>
        <v>160898</v>
      </c>
      <c r="X24" s="4">
        <f t="shared" si="6"/>
        <v>0.32124078608808065</v>
      </c>
      <c r="Y24" s="4">
        <f t="shared" si="7"/>
        <v>0.67458265484965629</v>
      </c>
      <c r="Z24" s="4">
        <f t="shared" si="8"/>
        <v>4.1765590622630487E-3</v>
      </c>
      <c r="AA24" t="s">
        <v>30</v>
      </c>
    </row>
    <row r="25" spans="1:27" ht="15" x14ac:dyDescent="0.25">
      <c r="A25" s="6">
        <v>24</v>
      </c>
      <c r="C25" t="s">
        <v>5</v>
      </c>
      <c r="D25" t="s">
        <v>5</v>
      </c>
      <c r="E25" t="s">
        <v>5</v>
      </c>
      <c r="F25" t="s">
        <v>32</v>
      </c>
      <c r="G25" t="s">
        <v>32</v>
      </c>
      <c r="I25">
        <f>16883+14411</f>
        <v>31294</v>
      </c>
      <c r="J25">
        <f>37399+35093</f>
        <v>72492</v>
      </c>
      <c r="L25">
        <f t="shared" si="0"/>
        <v>103786</v>
      </c>
      <c r="N25">
        <v>16292</v>
      </c>
      <c r="O25">
        <v>38819</v>
      </c>
      <c r="Q25">
        <f t="shared" si="1"/>
        <v>55111</v>
      </c>
      <c r="S25">
        <f t="shared" si="2"/>
        <v>47586</v>
      </c>
      <c r="T25">
        <f t="shared" si="3"/>
        <v>111311</v>
      </c>
      <c r="U25">
        <f t="shared" si="4"/>
        <v>0</v>
      </c>
      <c r="V25">
        <f t="shared" si="5"/>
        <v>158897</v>
      </c>
      <c r="X25" s="4">
        <f t="shared" si="6"/>
        <v>0.29947701970458851</v>
      </c>
      <c r="Y25" s="4">
        <f t="shared" si="7"/>
        <v>0.70052298029541149</v>
      </c>
      <c r="Z25" s="4">
        <f t="shared" si="8"/>
        <v>0</v>
      </c>
      <c r="AA25" t="s">
        <v>30</v>
      </c>
    </row>
    <row r="26" spans="1:27" ht="15" x14ac:dyDescent="0.25">
      <c r="A26" s="6">
        <v>25</v>
      </c>
      <c r="C26" t="s">
        <v>5</v>
      </c>
      <c r="D26" t="s">
        <v>5</v>
      </c>
      <c r="E26" t="s">
        <v>5</v>
      </c>
      <c r="F26" t="s">
        <v>32</v>
      </c>
      <c r="G26" t="s">
        <v>32</v>
      </c>
      <c r="I26">
        <v>0</v>
      </c>
      <c r="J26">
        <f>33393+35536</f>
        <v>68929</v>
      </c>
      <c r="K26">
        <f>9209+4426</f>
        <v>13635</v>
      </c>
      <c r="L26">
        <f t="shared" si="0"/>
        <v>82564</v>
      </c>
      <c r="N26">
        <v>36517</v>
      </c>
      <c r="P26">
        <v>5577</v>
      </c>
      <c r="Q26">
        <f t="shared" si="1"/>
        <v>42094</v>
      </c>
      <c r="S26">
        <f t="shared" si="2"/>
        <v>36517</v>
      </c>
      <c r="T26">
        <f t="shared" si="3"/>
        <v>68929</v>
      </c>
      <c r="U26">
        <f t="shared" si="4"/>
        <v>19212</v>
      </c>
      <c r="V26">
        <f t="shared" si="5"/>
        <v>124658</v>
      </c>
      <c r="X26" s="4">
        <f t="shared" si="6"/>
        <v>0.29293747693689937</v>
      </c>
      <c r="Y26" s="4">
        <f t="shared" si="7"/>
        <v>0.55294485712910524</v>
      </c>
      <c r="Z26" s="4">
        <f t="shared" si="8"/>
        <v>0.15411766593399542</v>
      </c>
      <c r="AA26" t="s">
        <v>30</v>
      </c>
    </row>
    <row r="27" spans="1:27" ht="15" x14ac:dyDescent="0.25">
      <c r="A27" s="6">
        <v>26</v>
      </c>
      <c r="C27" t="s">
        <v>5</v>
      </c>
      <c r="D27" t="s">
        <v>5</v>
      </c>
      <c r="E27" t="s">
        <v>5</v>
      </c>
      <c r="F27" t="s">
        <v>32</v>
      </c>
      <c r="G27" t="s">
        <v>32</v>
      </c>
      <c r="I27">
        <f>18720+18379</f>
        <v>37099</v>
      </c>
      <c r="J27">
        <f>35028+35352</f>
        <v>70380</v>
      </c>
      <c r="L27">
        <f t="shared" si="0"/>
        <v>107479</v>
      </c>
      <c r="N27">
        <v>19250</v>
      </c>
      <c r="O27">
        <v>35772</v>
      </c>
      <c r="Q27">
        <f t="shared" si="1"/>
        <v>55022</v>
      </c>
      <c r="S27">
        <f t="shared" si="2"/>
        <v>56349</v>
      </c>
      <c r="T27">
        <f t="shared" si="3"/>
        <v>106152</v>
      </c>
      <c r="U27">
        <f t="shared" si="4"/>
        <v>0</v>
      </c>
      <c r="V27">
        <f t="shared" si="5"/>
        <v>162501</v>
      </c>
      <c r="X27" s="4">
        <f t="shared" si="6"/>
        <v>0.34676094300958149</v>
      </c>
      <c r="Y27" s="4">
        <f t="shared" si="7"/>
        <v>0.65323905699041851</v>
      </c>
      <c r="Z27" s="4">
        <f t="shared" si="8"/>
        <v>0</v>
      </c>
      <c r="AA27" t="s">
        <v>30</v>
      </c>
    </row>
    <row r="28" spans="1:27" ht="15" x14ac:dyDescent="0.25">
      <c r="A28" s="6">
        <v>27</v>
      </c>
      <c r="C28" t="s">
        <v>4</v>
      </c>
      <c r="D28" t="s">
        <v>4</v>
      </c>
      <c r="E28" t="s">
        <v>4</v>
      </c>
      <c r="F28" t="s">
        <v>32</v>
      </c>
      <c r="G28" t="s">
        <v>32</v>
      </c>
      <c r="I28">
        <f>30554+29345</f>
        <v>59899</v>
      </c>
      <c r="J28">
        <f>25378+24732</f>
        <v>50110</v>
      </c>
      <c r="L28">
        <f t="shared" si="0"/>
        <v>110009</v>
      </c>
      <c r="N28">
        <v>34291</v>
      </c>
      <c r="O28">
        <v>23581</v>
      </c>
      <c r="Q28">
        <f t="shared" si="1"/>
        <v>57872</v>
      </c>
      <c r="S28">
        <f t="shared" si="2"/>
        <v>94190</v>
      </c>
      <c r="T28">
        <f t="shared" si="3"/>
        <v>73691</v>
      </c>
      <c r="U28">
        <f t="shared" si="4"/>
        <v>0</v>
      </c>
      <c r="V28">
        <f t="shared" si="5"/>
        <v>167881</v>
      </c>
      <c r="X28" s="4">
        <f t="shared" si="6"/>
        <v>0.56105217386124695</v>
      </c>
      <c r="Y28" s="4">
        <f t="shared" si="7"/>
        <v>0.43894782613875305</v>
      </c>
      <c r="Z28" s="4">
        <f t="shared" si="8"/>
        <v>0</v>
      </c>
      <c r="AA28" t="s">
        <v>30</v>
      </c>
    </row>
    <row r="29" spans="1:27" ht="15" x14ac:dyDescent="0.25">
      <c r="A29" s="6">
        <v>28</v>
      </c>
      <c r="C29" t="s">
        <v>4</v>
      </c>
      <c r="D29" t="s">
        <v>4</v>
      </c>
      <c r="E29" t="s">
        <v>4</v>
      </c>
      <c r="F29" t="s">
        <v>32</v>
      </c>
      <c r="G29" t="s">
        <v>32</v>
      </c>
      <c r="I29">
        <f>25869+26221</f>
        <v>52090</v>
      </c>
      <c r="J29">
        <f>7452+7875</f>
        <v>15327</v>
      </c>
      <c r="L29">
        <f t="shared" si="0"/>
        <v>67417</v>
      </c>
      <c r="N29">
        <v>27265</v>
      </c>
      <c r="O29">
        <v>8744</v>
      </c>
      <c r="Q29">
        <f t="shared" si="1"/>
        <v>36009</v>
      </c>
      <c r="S29">
        <f t="shared" si="2"/>
        <v>79355</v>
      </c>
      <c r="T29">
        <f t="shared" si="3"/>
        <v>24071</v>
      </c>
      <c r="U29">
        <f t="shared" si="4"/>
        <v>0</v>
      </c>
      <c r="V29">
        <f t="shared" si="5"/>
        <v>103426</v>
      </c>
      <c r="X29" s="4">
        <f t="shared" si="6"/>
        <v>0.76726355075126174</v>
      </c>
      <c r="Y29" s="4">
        <f t="shared" si="7"/>
        <v>0.23273644924873824</v>
      </c>
      <c r="Z29" s="4">
        <f t="shared" si="8"/>
        <v>0</v>
      </c>
      <c r="AA29" t="s">
        <v>31</v>
      </c>
    </row>
    <row r="30" spans="1:27" ht="15" x14ac:dyDescent="0.25">
      <c r="A30" s="6">
        <v>29</v>
      </c>
      <c r="C30" t="s">
        <v>4</v>
      </c>
      <c r="D30" t="s">
        <v>4</v>
      </c>
      <c r="E30" t="s">
        <v>4</v>
      </c>
      <c r="F30" t="s">
        <v>32</v>
      </c>
      <c r="G30" t="s">
        <v>32</v>
      </c>
      <c r="I30">
        <f>15259+14645</f>
        <v>29904</v>
      </c>
      <c r="J30">
        <f>3957+3903</f>
        <v>7860</v>
      </c>
      <c r="L30">
        <f t="shared" si="0"/>
        <v>37764</v>
      </c>
      <c r="N30">
        <v>16078</v>
      </c>
      <c r="O30">
        <v>3636</v>
      </c>
      <c r="P30">
        <v>808</v>
      </c>
      <c r="Q30">
        <f t="shared" si="1"/>
        <v>20522</v>
      </c>
      <c r="S30">
        <f t="shared" si="2"/>
        <v>45982</v>
      </c>
      <c r="T30">
        <f t="shared" si="3"/>
        <v>11496</v>
      </c>
      <c r="U30">
        <f t="shared" si="4"/>
        <v>808</v>
      </c>
      <c r="V30">
        <f t="shared" si="5"/>
        <v>58286</v>
      </c>
      <c r="X30" s="4">
        <f t="shared" si="6"/>
        <v>0.78890299557355115</v>
      </c>
      <c r="Y30" s="4">
        <f t="shared" si="7"/>
        <v>0.1972343272827094</v>
      </c>
      <c r="Z30" s="4">
        <f t="shared" si="8"/>
        <v>1.3862677143739491E-2</v>
      </c>
      <c r="AA30" t="s">
        <v>31</v>
      </c>
    </row>
    <row r="31" spans="1:27" ht="15" x14ac:dyDescent="0.25">
      <c r="A31" s="6">
        <v>30</v>
      </c>
      <c r="C31" t="s">
        <v>5</v>
      </c>
      <c r="D31" t="s">
        <v>5</v>
      </c>
      <c r="E31" t="s">
        <v>5</v>
      </c>
      <c r="F31" t="s">
        <v>32</v>
      </c>
      <c r="G31" t="s">
        <v>32</v>
      </c>
      <c r="I31">
        <f>12967+13898</f>
        <v>26865</v>
      </c>
      <c r="J31">
        <f>39702+37252</f>
        <v>76954</v>
      </c>
      <c r="L31">
        <f t="shared" si="0"/>
        <v>103819</v>
      </c>
      <c r="N31">
        <v>15535</v>
      </c>
      <c r="O31">
        <v>36563</v>
      </c>
      <c r="Q31">
        <f t="shared" si="1"/>
        <v>52098</v>
      </c>
      <c r="S31">
        <f t="shared" si="2"/>
        <v>42400</v>
      </c>
      <c r="T31">
        <f t="shared" si="3"/>
        <v>113517</v>
      </c>
      <c r="U31">
        <f t="shared" si="4"/>
        <v>0</v>
      </c>
      <c r="V31">
        <f t="shared" si="5"/>
        <v>155917</v>
      </c>
      <c r="X31" s="4">
        <f t="shared" si="6"/>
        <v>0.27193955758512545</v>
      </c>
      <c r="Y31" s="4">
        <f t="shared" si="7"/>
        <v>0.72806044241487455</v>
      </c>
      <c r="Z31" s="4">
        <f t="shared" si="8"/>
        <v>0</v>
      </c>
      <c r="AA31" t="s">
        <v>30</v>
      </c>
    </row>
    <row r="32" spans="1:27" ht="15" x14ac:dyDescent="0.25">
      <c r="A32" s="6">
        <v>31</v>
      </c>
      <c r="C32" t="s">
        <v>4</v>
      </c>
      <c r="D32" t="s">
        <v>4</v>
      </c>
      <c r="E32" t="s">
        <v>4</v>
      </c>
      <c r="F32" t="s">
        <v>32</v>
      </c>
      <c r="G32" t="s">
        <v>32</v>
      </c>
      <c r="I32">
        <f>17877+17954</f>
        <v>35831</v>
      </c>
      <c r="J32">
        <f>6471+6342</f>
        <v>12813</v>
      </c>
      <c r="L32">
        <f t="shared" si="0"/>
        <v>48644</v>
      </c>
      <c r="N32">
        <v>18822</v>
      </c>
      <c r="O32">
        <v>6932</v>
      </c>
      <c r="Q32">
        <f t="shared" si="1"/>
        <v>25754</v>
      </c>
      <c r="S32">
        <f t="shared" si="2"/>
        <v>54653</v>
      </c>
      <c r="T32">
        <f t="shared" si="3"/>
        <v>19745</v>
      </c>
      <c r="U32">
        <f t="shared" si="4"/>
        <v>0</v>
      </c>
      <c r="V32">
        <f t="shared" si="5"/>
        <v>74398</v>
      </c>
      <c r="X32" s="4">
        <f t="shared" si="6"/>
        <v>0.73460308072797653</v>
      </c>
      <c r="Y32" s="4">
        <f t="shared" si="7"/>
        <v>0.26539691927202347</v>
      </c>
      <c r="Z32" s="4">
        <f t="shared" si="8"/>
        <v>0</v>
      </c>
      <c r="AA32" t="s">
        <v>30</v>
      </c>
    </row>
    <row r="33" spans="1:27" ht="15" x14ac:dyDescent="0.25">
      <c r="A33" s="6">
        <v>32</v>
      </c>
      <c r="C33" t="s">
        <v>4</v>
      </c>
      <c r="D33" t="s">
        <v>4</v>
      </c>
      <c r="E33" t="s">
        <v>4</v>
      </c>
      <c r="F33" t="s">
        <v>32</v>
      </c>
      <c r="G33" t="s">
        <v>32</v>
      </c>
      <c r="I33">
        <f>19885+19293</f>
        <v>39178</v>
      </c>
      <c r="J33">
        <f>7874+7923</f>
        <v>15797</v>
      </c>
      <c r="L33">
        <f t="shared" si="0"/>
        <v>54975</v>
      </c>
      <c r="N33">
        <v>20098</v>
      </c>
      <c r="O33">
        <v>8542</v>
      </c>
      <c r="Q33">
        <f t="shared" si="1"/>
        <v>28640</v>
      </c>
      <c r="S33">
        <f t="shared" si="2"/>
        <v>59276</v>
      </c>
      <c r="T33">
        <f t="shared" si="3"/>
        <v>24339</v>
      </c>
      <c r="U33">
        <f t="shared" si="4"/>
        <v>0</v>
      </c>
      <c r="V33">
        <f t="shared" si="5"/>
        <v>83615</v>
      </c>
      <c r="X33" s="4">
        <f t="shared" si="6"/>
        <v>0.70891586437840104</v>
      </c>
      <c r="Y33" s="4">
        <f t="shared" si="7"/>
        <v>0.29108413562159902</v>
      </c>
      <c r="Z33" s="4">
        <f t="shared" si="8"/>
        <v>0</v>
      </c>
      <c r="AA33" t="s">
        <v>30</v>
      </c>
    </row>
    <row r="34" spans="1:27" ht="15" x14ac:dyDescent="0.25">
      <c r="A34" s="6">
        <v>33</v>
      </c>
      <c r="C34" t="s">
        <v>4</v>
      </c>
      <c r="D34" t="s">
        <v>4</v>
      </c>
      <c r="E34" t="s">
        <v>4</v>
      </c>
      <c r="F34" t="s">
        <v>32</v>
      </c>
      <c r="G34" t="s">
        <v>32</v>
      </c>
      <c r="I34">
        <f>20681+19029</f>
        <v>39710</v>
      </c>
      <c r="J34">
        <f>7691+7737</f>
        <v>15428</v>
      </c>
      <c r="L34">
        <f t="shared" si="0"/>
        <v>55138</v>
      </c>
      <c r="N34">
        <v>26980</v>
      </c>
      <c r="O34">
        <v>6460</v>
      </c>
      <c r="Q34">
        <f t="shared" si="1"/>
        <v>33440</v>
      </c>
      <c r="S34">
        <f t="shared" si="2"/>
        <v>66690</v>
      </c>
      <c r="T34">
        <f t="shared" si="3"/>
        <v>21888</v>
      </c>
      <c r="U34">
        <f t="shared" si="4"/>
        <v>0</v>
      </c>
      <c r="V34">
        <f t="shared" si="5"/>
        <v>88578</v>
      </c>
      <c r="X34" s="4">
        <f t="shared" si="6"/>
        <v>0.75289575289575295</v>
      </c>
      <c r="Y34" s="4">
        <f t="shared" si="7"/>
        <v>0.24710424710424711</v>
      </c>
      <c r="Z34" s="4">
        <f t="shared" si="8"/>
        <v>0</v>
      </c>
      <c r="AA34" t="s">
        <v>31</v>
      </c>
    </row>
    <row r="35" spans="1:27" ht="15" x14ac:dyDescent="0.25">
      <c r="A35" s="6">
        <v>34</v>
      </c>
      <c r="C35" t="s">
        <v>4</v>
      </c>
      <c r="D35" t="s">
        <v>4</v>
      </c>
      <c r="E35" t="s">
        <v>4</v>
      </c>
      <c r="F35" t="s">
        <v>32</v>
      </c>
      <c r="G35" t="s">
        <v>32</v>
      </c>
      <c r="I35">
        <f>27095+26802</f>
        <v>53897</v>
      </c>
      <c r="J35">
        <f>8654+8663</f>
        <v>17317</v>
      </c>
      <c r="L35">
        <f t="shared" si="0"/>
        <v>71214</v>
      </c>
      <c r="N35">
        <v>27132</v>
      </c>
      <c r="O35">
        <v>9972</v>
      </c>
      <c r="Q35">
        <f t="shared" si="1"/>
        <v>37104</v>
      </c>
      <c r="S35">
        <f t="shared" si="2"/>
        <v>81029</v>
      </c>
      <c r="T35">
        <f t="shared" si="3"/>
        <v>27289</v>
      </c>
      <c r="U35">
        <f t="shared" si="4"/>
        <v>0</v>
      </c>
      <c r="V35">
        <f t="shared" si="5"/>
        <v>108318</v>
      </c>
      <c r="X35" s="4">
        <f t="shared" si="6"/>
        <v>0.74806588009379793</v>
      </c>
      <c r="Y35" s="4">
        <f t="shared" si="7"/>
        <v>0.25193411990620213</v>
      </c>
      <c r="Z35" s="4">
        <f t="shared" si="8"/>
        <v>0</v>
      </c>
      <c r="AA35" t="s">
        <v>30</v>
      </c>
    </row>
    <row r="36" spans="1:27" ht="15" x14ac:dyDescent="0.25">
      <c r="A36" s="6">
        <v>35</v>
      </c>
      <c r="C36" t="s">
        <v>4</v>
      </c>
      <c r="D36" t="s">
        <v>4</v>
      </c>
      <c r="E36" t="s">
        <v>4</v>
      </c>
      <c r="F36" t="s">
        <v>32</v>
      </c>
      <c r="G36" t="s">
        <v>32</v>
      </c>
      <c r="I36">
        <f>20791+21195</f>
        <v>41986</v>
      </c>
      <c r="J36">
        <f>7968+7828</f>
        <v>15796</v>
      </c>
      <c r="L36">
        <f t="shared" si="0"/>
        <v>57782</v>
      </c>
      <c r="N36">
        <v>22154</v>
      </c>
      <c r="O36">
        <v>7737</v>
      </c>
      <c r="Q36">
        <f t="shared" si="1"/>
        <v>29891</v>
      </c>
      <c r="S36">
        <f t="shared" si="2"/>
        <v>64140</v>
      </c>
      <c r="T36">
        <f t="shared" si="3"/>
        <v>23533</v>
      </c>
      <c r="U36">
        <f t="shared" si="4"/>
        <v>0</v>
      </c>
      <c r="V36">
        <f t="shared" si="5"/>
        <v>87673</v>
      </c>
      <c r="X36" s="4">
        <f t="shared" si="6"/>
        <v>0.73158212904771136</v>
      </c>
      <c r="Y36" s="4">
        <f t="shared" si="7"/>
        <v>0.26841787095228864</v>
      </c>
      <c r="Z36" s="4">
        <f t="shared" si="8"/>
        <v>0</v>
      </c>
      <c r="AA36" t="s">
        <v>30</v>
      </c>
    </row>
    <row r="37" spans="1:27" ht="15" x14ac:dyDescent="0.25">
      <c r="A37" s="6">
        <v>36</v>
      </c>
      <c r="C37" t="s">
        <v>4</v>
      </c>
      <c r="D37" t="s">
        <v>4</v>
      </c>
      <c r="E37" t="s">
        <v>4</v>
      </c>
      <c r="F37" t="s">
        <v>32</v>
      </c>
      <c r="G37" t="s">
        <v>32</v>
      </c>
      <c r="I37">
        <f>21131+20520</f>
        <v>41651</v>
      </c>
      <c r="J37">
        <f>15631+15014</f>
        <v>30645</v>
      </c>
      <c r="L37">
        <f t="shared" si="0"/>
        <v>72296</v>
      </c>
      <c r="N37">
        <v>22677</v>
      </c>
      <c r="O37">
        <v>15293</v>
      </c>
      <c r="Q37">
        <f t="shared" si="1"/>
        <v>37970</v>
      </c>
      <c r="S37">
        <f t="shared" si="2"/>
        <v>64328</v>
      </c>
      <c r="T37">
        <f t="shared" si="3"/>
        <v>45938</v>
      </c>
      <c r="U37">
        <f t="shared" si="4"/>
        <v>0</v>
      </c>
      <c r="V37">
        <f t="shared" si="5"/>
        <v>110266</v>
      </c>
      <c r="X37" s="4">
        <f t="shared" si="6"/>
        <v>0.58338925870168501</v>
      </c>
      <c r="Y37" s="4">
        <f t="shared" si="7"/>
        <v>0.41661074129831499</v>
      </c>
      <c r="Z37" s="4">
        <f t="shared" si="8"/>
        <v>0</v>
      </c>
      <c r="AA37" t="s">
        <v>30</v>
      </c>
    </row>
    <row r="38" spans="1:27" ht="15" x14ac:dyDescent="0.25">
      <c r="A38" s="6">
        <v>37</v>
      </c>
      <c r="C38" t="s">
        <v>4</v>
      </c>
      <c r="D38" t="s">
        <v>4</v>
      </c>
      <c r="E38" t="s">
        <v>4</v>
      </c>
      <c r="F38" t="s">
        <v>32</v>
      </c>
      <c r="G38" t="s">
        <v>32</v>
      </c>
      <c r="I38">
        <f>26373+26581</f>
        <v>52954</v>
      </c>
      <c r="J38">
        <f>12988+13338</f>
        <v>26326</v>
      </c>
      <c r="L38">
        <f t="shared" si="0"/>
        <v>79280</v>
      </c>
      <c r="N38">
        <v>28321</v>
      </c>
      <c r="O38">
        <v>13038</v>
      </c>
      <c r="Q38">
        <f t="shared" si="1"/>
        <v>41359</v>
      </c>
      <c r="S38">
        <f t="shared" si="2"/>
        <v>81275</v>
      </c>
      <c r="T38">
        <f t="shared" si="3"/>
        <v>39364</v>
      </c>
      <c r="U38">
        <f t="shared" si="4"/>
        <v>0</v>
      </c>
      <c r="V38">
        <f t="shared" si="5"/>
        <v>120639</v>
      </c>
      <c r="X38" s="4">
        <f t="shared" si="6"/>
        <v>0.67370419184509156</v>
      </c>
      <c r="Y38" s="4">
        <f t="shared" si="7"/>
        <v>0.32629580815490844</v>
      </c>
      <c r="Z38" s="4">
        <f t="shared" si="8"/>
        <v>0</v>
      </c>
      <c r="AA38" t="s">
        <v>30</v>
      </c>
    </row>
    <row r="39" spans="1:27" ht="15" x14ac:dyDescent="0.25">
      <c r="A39" s="6">
        <v>38</v>
      </c>
      <c r="C39" t="s">
        <v>4</v>
      </c>
      <c r="D39" t="s">
        <v>4</v>
      </c>
      <c r="E39" t="s">
        <v>4</v>
      </c>
      <c r="F39" t="s">
        <v>32</v>
      </c>
      <c r="G39" t="s">
        <v>32</v>
      </c>
      <c r="I39">
        <f>26021+26279</f>
        <v>52300</v>
      </c>
      <c r="J39">
        <f>25836+25965</f>
        <v>51801</v>
      </c>
      <c r="L39">
        <f t="shared" si="0"/>
        <v>104101</v>
      </c>
      <c r="N39">
        <v>27779</v>
      </c>
      <c r="O39">
        <v>25767</v>
      </c>
      <c r="Q39">
        <f t="shared" si="1"/>
        <v>53546</v>
      </c>
      <c r="S39">
        <f t="shared" si="2"/>
        <v>80079</v>
      </c>
      <c r="T39">
        <f t="shared" si="3"/>
        <v>77568</v>
      </c>
      <c r="U39">
        <f t="shared" si="4"/>
        <v>0</v>
      </c>
      <c r="V39">
        <f t="shared" si="5"/>
        <v>157647</v>
      </c>
      <c r="X39" s="4">
        <f t="shared" si="6"/>
        <v>0.50796399550895355</v>
      </c>
      <c r="Y39" s="4">
        <f t="shared" si="7"/>
        <v>0.49203600449104645</v>
      </c>
      <c r="Z39" s="4">
        <f t="shared" si="8"/>
        <v>0</v>
      </c>
      <c r="AA39" t="s">
        <v>30</v>
      </c>
    </row>
    <row r="40" spans="1:27" ht="15" x14ac:dyDescent="0.25">
      <c r="A40" s="6">
        <v>39</v>
      </c>
      <c r="C40" t="s">
        <v>5</v>
      </c>
      <c r="D40" t="s">
        <v>5</v>
      </c>
      <c r="E40" t="s">
        <v>5</v>
      </c>
      <c r="F40" t="s">
        <v>32</v>
      </c>
      <c r="G40" t="s">
        <v>32</v>
      </c>
      <c r="I40">
        <f>20785+22450</f>
        <v>43235</v>
      </c>
      <c r="J40">
        <f>33680+36873</f>
        <v>70553</v>
      </c>
      <c r="L40">
        <f t="shared" si="0"/>
        <v>113788</v>
      </c>
      <c r="N40">
        <v>21616</v>
      </c>
      <c r="O40">
        <v>37836</v>
      </c>
      <c r="Q40">
        <f t="shared" si="1"/>
        <v>59452</v>
      </c>
      <c r="S40">
        <f t="shared" si="2"/>
        <v>64851</v>
      </c>
      <c r="T40">
        <f t="shared" si="3"/>
        <v>108389</v>
      </c>
      <c r="U40">
        <f t="shared" si="4"/>
        <v>0</v>
      </c>
      <c r="V40">
        <f t="shared" si="5"/>
        <v>173240</v>
      </c>
      <c r="X40" s="4">
        <f t="shared" si="6"/>
        <v>0.37434195335950127</v>
      </c>
      <c r="Y40" s="4">
        <f t="shared" si="7"/>
        <v>0.62565804664049873</v>
      </c>
      <c r="Z40" s="4">
        <f t="shared" si="8"/>
        <v>0</v>
      </c>
      <c r="AA40" t="s">
        <v>30</v>
      </c>
    </row>
    <row r="41" spans="1:27" ht="15" x14ac:dyDescent="0.25">
      <c r="A41" s="6">
        <v>40</v>
      </c>
      <c r="C41" t="s">
        <v>5</v>
      </c>
      <c r="D41" t="s">
        <v>5</v>
      </c>
      <c r="E41" t="s">
        <v>5</v>
      </c>
      <c r="F41" t="s">
        <v>32</v>
      </c>
      <c r="G41" t="s">
        <v>32</v>
      </c>
      <c r="I41">
        <f>20779+19542</f>
        <v>40321</v>
      </c>
      <c r="J41">
        <f>36143+36174</f>
        <v>72317</v>
      </c>
      <c r="L41">
        <f t="shared" si="0"/>
        <v>112638</v>
      </c>
      <c r="N41">
        <v>19401</v>
      </c>
      <c r="O41">
        <v>37565</v>
      </c>
      <c r="Q41">
        <f t="shared" si="1"/>
        <v>56966</v>
      </c>
      <c r="S41">
        <f t="shared" si="2"/>
        <v>59722</v>
      </c>
      <c r="T41">
        <f t="shared" si="3"/>
        <v>109882</v>
      </c>
      <c r="U41">
        <f t="shared" si="4"/>
        <v>0</v>
      </c>
      <c r="V41">
        <f t="shared" si="5"/>
        <v>169604</v>
      </c>
      <c r="X41" s="4">
        <f t="shared" si="6"/>
        <v>0.35212612910072877</v>
      </c>
      <c r="Y41" s="4">
        <f t="shared" si="7"/>
        <v>0.64787387089927129</v>
      </c>
      <c r="Z41" s="4">
        <f t="shared" si="8"/>
        <v>0</v>
      </c>
      <c r="AA41" t="s">
        <v>30</v>
      </c>
    </row>
    <row r="42" spans="1:27" ht="15" x14ac:dyDescent="0.25">
      <c r="L42">
        <f>SUM(L2:L41)</f>
        <v>3721973</v>
      </c>
      <c r="Q42">
        <f>SUM(Q2:Q41)</f>
        <v>1925335</v>
      </c>
      <c r="S42">
        <f>SUM(S2:S41)</f>
        <v>2757491</v>
      </c>
      <c r="T42">
        <f>SUM(T2:T41)</f>
        <v>2859027</v>
      </c>
      <c r="U42">
        <f>SUM(U2:U41)</f>
        <v>30790</v>
      </c>
      <c r="V42">
        <f t="shared" si="5"/>
        <v>5647308</v>
      </c>
      <c r="X42" s="4">
        <f t="shared" si="6"/>
        <v>0.48828415237844297</v>
      </c>
      <c r="Y42" s="4">
        <f t="shared" si="7"/>
        <v>0.50626369236457436</v>
      </c>
      <c r="Z42" s="4">
        <f t="shared" si="8"/>
        <v>5.4521552569826194E-3</v>
      </c>
    </row>
    <row r="43" spans="1:27" ht="15" x14ac:dyDescent="0.25">
      <c r="B43" t="s">
        <v>5</v>
      </c>
      <c r="C43">
        <f>COUNTIF(C2:C41,"GOP")</f>
        <v>15</v>
      </c>
      <c r="D43">
        <f>COUNTIF(D2:D41,"GOP")</f>
        <v>17</v>
      </c>
      <c r="E43">
        <f>COUNTIF(E2:E41,"GOP")</f>
        <v>16</v>
      </c>
      <c r="F43">
        <f>SUM(C43:E43)</f>
        <v>48</v>
      </c>
      <c r="G43">
        <f>F43/F45</f>
        <v>0.4</v>
      </c>
      <c r="AA43">
        <f>COUNTIF(AA2:AA42,"Yes")</f>
        <v>36</v>
      </c>
    </row>
    <row r="44" spans="1:27" ht="15" x14ac:dyDescent="0.25">
      <c r="B44" t="s">
        <v>4</v>
      </c>
      <c r="C44">
        <f>COUNTIF(C2:C41,"Dem")</f>
        <v>25</v>
      </c>
      <c r="D44">
        <f>COUNTIF(D2:D41,"Dem")</f>
        <v>23</v>
      </c>
      <c r="E44">
        <f>COUNTIF(E2:E41,"dem")</f>
        <v>24</v>
      </c>
      <c r="F44">
        <f>SUM(C44:E44)</f>
        <v>72</v>
      </c>
      <c r="G44">
        <f>F44/F45</f>
        <v>0.6</v>
      </c>
    </row>
    <row r="45" spans="1:27" ht="15" x14ac:dyDescent="0.25">
      <c r="F45">
        <f>SUM(F43:F44)</f>
        <v>120</v>
      </c>
    </row>
    <row r="47" spans="1:27" ht="15" x14ac:dyDescent="0.25">
      <c r="E47" t="s">
        <v>8</v>
      </c>
      <c r="F47">
        <f>COUNTIF(F2:F41,"Homogeneous")</f>
        <v>38</v>
      </c>
      <c r="G47">
        <v>37</v>
      </c>
    </row>
    <row r="48" spans="1:27" ht="15" x14ac:dyDescent="0.25">
      <c r="E48" t="s">
        <v>9</v>
      </c>
      <c r="F48">
        <f>COUNTIF(F2:F41,"Different!")</f>
        <v>2</v>
      </c>
      <c r="G48">
        <f>COUNTIF(G2:G41,"Different!")</f>
        <v>3</v>
      </c>
    </row>
    <row r="49" spans="5:7" x14ac:dyDescent="0.3">
      <c r="E49" t="s">
        <v>12</v>
      </c>
      <c r="F49">
        <f>F47/SUM(F47:F48)</f>
        <v>0.95</v>
      </c>
      <c r="G49">
        <f>G47/SUM(G47:G48)</f>
        <v>0.92500000000000004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tabSelected="1" workbookViewId="0">
      <pane xSplit="1" ySplit="1" topLeftCell="G23" activePane="bottomRight" state="frozen"/>
      <selection pane="topRight" activeCell="B1" sqref="B1"/>
      <selection pane="bottomLeft" activeCell="A2" sqref="A2"/>
      <selection pane="bottomRight" activeCell="A38" sqref="A38:XFD38"/>
    </sheetView>
  </sheetViews>
  <sheetFormatPr defaultRowHeight="14.4" x14ac:dyDescent="0.3"/>
  <cols>
    <col min="2" max="2" width="5.5546875" customWidth="1"/>
    <col min="3" max="3" width="17" customWidth="1"/>
    <col min="4" max="4" width="16.5546875" customWidth="1"/>
    <col min="5" max="5" width="18.88671875" customWidth="1"/>
    <col min="6" max="6" width="23" customWidth="1"/>
    <col min="7" max="7" width="19.88671875" customWidth="1"/>
    <col min="9" max="9" width="16.6640625" style="2" customWidth="1"/>
    <col min="10" max="11" width="12.33203125" style="2" customWidth="1"/>
    <col min="12" max="12" width="14.33203125" style="2" customWidth="1"/>
    <col min="13" max="14" width="9.109375" style="2"/>
    <col min="15" max="22" width="9.109375" style="3"/>
    <col min="24" max="26" width="9.109375" style="4"/>
  </cols>
  <sheetData>
    <row r="1" spans="1:27" x14ac:dyDescent="0.25">
      <c r="A1" t="s">
        <v>0</v>
      </c>
      <c r="C1" t="s">
        <v>1</v>
      </c>
      <c r="D1" t="s">
        <v>2</v>
      </c>
      <c r="E1" t="s">
        <v>3</v>
      </c>
      <c r="F1" t="s">
        <v>10</v>
      </c>
      <c r="G1" t="s">
        <v>11</v>
      </c>
      <c r="I1" s="2" t="s">
        <v>13</v>
      </c>
      <c r="J1" s="2" t="s">
        <v>14</v>
      </c>
      <c r="K1" s="2" t="s">
        <v>21</v>
      </c>
      <c r="L1" s="2" t="s">
        <v>15</v>
      </c>
      <c r="N1" s="2" t="s">
        <v>16</v>
      </c>
      <c r="O1" s="2" t="s">
        <v>28</v>
      </c>
      <c r="P1" s="2" t="s">
        <v>22</v>
      </c>
      <c r="Q1" s="2" t="s">
        <v>17</v>
      </c>
      <c r="S1" s="2" t="s">
        <v>18</v>
      </c>
      <c r="T1" s="2" t="s">
        <v>19</v>
      </c>
      <c r="U1" s="2" t="s">
        <v>23</v>
      </c>
      <c r="V1" s="2" t="s">
        <v>20</v>
      </c>
      <c r="X1" s="4" t="s">
        <v>24</v>
      </c>
      <c r="Y1" s="4" t="s">
        <v>25</v>
      </c>
      <c r="Z1" s="4" t="s">
        <v>26</v>
      </c>
      <c r="AA1" s="4" t="s">
        <v>27</v>
      </c>
    </row>
    <row r="2" spans="1:27" x14ac:dyDescent="0.25">
      <c r="A2">
        <v>1</v>
      </c>
      <c r="B2" t="s">
        <v>6</v>
      </c>
      <c r="C2" t="s">
        <v>4</v>
      </c>
      <c r="D2" t="s">
        <v>4</v>
      </c>
      <c r="E2" t="s">
        <v>4</v>
      </c>
      <c r="F2" t="str">
        <f t="shared" ref="F2:F41" si="0">IF(C2=D2,"Homogeneous","Different!")</f>
        <v>Homogeneous</v>
      </c>
      <c r="G2" t="str">
        <f t="shared" ref="G2:G41" si="1">IF(AND(C2=D2, D2=E2, C2=E2),"Homogeneous","Different!")</f>
        <v>Homogeneous</v>
      </c>
      <c r="I2" s="2">
        <f>24547+21978</f>
        <v>46525</v>
      </c>
      <c r="J2" s="2">
        <f>21004+20669</f>
        <v>41673</v>
      </c>
      <c r="L2" s="2">
        <f>SUM(I2:K2)</f>
        <v>88198</v>
      </c>
      <c r="N2" s="2">
        <v>24298</v>
      </c>
      <c r="O2" s="3">
        <v>20726</v>
      </c>
      <c r="Q2" s="3">
        <f>SUM(N2:P2)</f>
        <v>45024</v>
      </c>
      <c r="S2" s="3">
        <f>SUM(I2,N2)</f>
        <v>70823</v>
      </c>
      <c r="T2" s="3">
        <f>SUM(J2,O2)</f>
        <v>62399</v>
      </c>
      <c r="U2" s="3">
        <f>SUM(K2,P2)</f>
        <v>0</v>
      </c>
      <c r="V2" s="3">
        <f>SUM(S2:U2)</f>
        <v>133222</v>
      </c>
      <c r="X2" s="4">
        <f>S2/V2</f>
        <v>0.5316163996937443</v>
      </c>
      <c r="Y2" s="4">
        <f>T2/V2</f>
        <v>0.4683836003062557</v>
      </c>
      <c r="Z2" s="4">
        <f>U2/V2</f>
        <v>0</v>
      </c>
      <c r="AA2" t="str">
        <f>IF(AND(X2&gt;0.25,Y2&gt;0.25),"Yes","No")</f>
        <v>Yes</v>
      </c>
    </row>
    <row r="3" spans="1:27" x14ac:dyDescent="0.25">
      <c r="A3">
        <v>2</v>
      </c>
      <c r="C3" t="s">
        <v>5</v>
      </c>
      <c r="D3" t="s">
        <v>5</v>
      </c>
      <c r="E3" t="s">
        <v>4</v>
      </c>
      <c r="F3" t="str">
        <f t="shared" si="0"/>
        <v>Homogeneous</v>
      </c>
      <c r="G3" t="str">
        <f t="shared" si="1"/>
        <v>Different!</v>
      </c>
      <c r="I3" s="2">
        <f>18526+16583</f>
        <v>35109</v>
      </c>
      <c r="J3" s="2">
        <f>23449+21629</f>
        <v>45078</v>
      </c>
      <c r="L3" s="2">
        <f t="shared" ref="L3:L41" si="2">SUM(I3:K3)</f>
        <v>80187</v>
      </c>
      <c r="N3" s="2">
        <v>22403</v>
      </c>
      <c r="O3" s="3">
        <v>19254</v>
      </c>
      <c r="Q3" s="3">
        <f t="shared" ref="Q3:Q41" si="3">SUM(N3:P3)</f>
        <v>41657</v>
      </c>
      <c r="S3" s="3">
        <f t="shared" ref="S3:S41" si="4">SUM(I3,N3)</f>
        <v>57512</v>
      </c>
      <c r="T3" s="3">
        <f t="shared" ref="T3:T41" si="5">SUM(J3,O3)</f>
        <v>64332</v>
      </c>
      <c r="U3" s="3">
        <f t="shared" ref="U3:U41" si="6">SUM(K3,P3)</f>
        <v>0</v>
      </c>
      <c r="V3" s="3">
        <f t="shared" ref="V3:V42" si="7">SUM(S3:U3)</f>
        <v>121844</v>
      </c>
      <c r="X3" s="4">
        <f t="shared" ref="X3:X42" si="8">S3/V3</f>
        <v>0.47201339417615967</v>
      </c>
      <c r="Y3" s="4">
        <f t="shared" ref="Y3:Y42" si="9">T3/V3</f>
        <v>0.52798660582384027</v>
      </c>
      <c r="Z3" s="4">
        <f t="shared" ref="Z3:Z42" si="10">U3/V3</f>
        <v>0</v>
      </c>
      <c r="AA3" t="str">
        <f t="shared" ref="AA3:AA42" si="11">IF(AND(X3&gt;0.25,Y3&gt;0.25),"Yes","No")</f>
        <v>Yes</v>
      </c>
    </row>
    <row r="4" spans="1:27" x14ac:dyDescent="0.25">
      <c r="A4">
        <v>3</v>
      </c>
      <c r="C4" t="s">
        <v>4</v>
      </c>
      <c r="D4" t="s">
        <v>4</v>
      </c>
      <c r="E4" t="s">
        <v>4</v>
      </c>
      <c r="F4" t="str">
        <f t="shared" si="0"/>
        <v>Homogeneous</v>
      </c>
      <c r="G4" t="str">
        <f t="shared" si="1"/>
        <v>Homogeneous</v>
      </c>
      <c r="I4" s="2">
        <f>24882+23664</f>
        <v>48546</v>
      </c>
      <c r="J4" s="2">
        <f>20448+20185</f>
        <v>40633</v>
      </c>
      <c r="L4" s="2">
        <f t="shared" si="2"/>
        <v>89179</v>
      </c>
      <c r="N4" s="2">
        <v>25004</v>
      </c>
      <c r="O4" s="3">
        <v>20109</v>
      </c>
      <c r="Q4" s="3">
        <f t="shared" si="3"/>
        <v>45113</v>
      </c>
      <c r="S4" s="3">
        <f t="shared" si="4"/>
        <v>73550</v>
      </c>
      <c r="T4" s="3">
        <f t="shared" si="5"/>
        <v>60742</v>
      </c>
      <c r="U4" s="3">
        <f t="shared" si="6"/>
        <v>0</v>
      </c>
      <c r="V4" s="3">
        <f t="shared" si="7"/>
        <v>134292</v>
      </c>
      <c r="X4" s="4">
        <f t="shared" si="8"/>
        <v>0.54768712953861731</v>
      </c>
      <c r="Y4" s="4">
        <f t="shared" si="9"/>
        <v>0.45231287046138263</v>
      </c>
      <c r="Z4" s="4">
        <f t="shared" si="10"/>
        <v>0</v>
      </c>
      <c r="AA4" t="str">
        <f t="shared" si="11"/>
        <v>Yes</v>
      </c>
    </row>
    <row r="5" spans="1:27" x14ac:dyDescent="0.25">
      <c r="A5">
        <v>4</v>
      </c>
      <c r="C5" t="s">
        <v>4</v>
      </c>
      <c r="D5" t="s">
        <v>4</v>
      </c>
      <c r="E5" t="s">
        <v>4</v>
      </c>
      <c r="F5" t="str">
        <f t="shared" si="0"/>
        <v>Homogeneous</v>
      </c>
      <c r="G5" t="str">
        <f t="shared" si="1"/>
        <v>Homogeneous</v>
      </c>
      <c r="I5" s="2">
        <f>21086+19907</f>
        <v>40993</v>
      </c>
      <c r="J5" s="2">
        <f>14351+14000</f>
        <v>28351</v>
      </c>
      <c r="K5" s="2">
        <v>1767</v>
      </c>
      <c r="L5" s="2">
        <f t="shared" si="2"/>
        <v>71111</v>
      </c>
      <c r="N5" s="2">
        <v>22166</v>
      </c>
      <c r="O5" s="3">
        <v>13873</v>
      </c>
      <c r="Q5" s="3">
        <f t="shared" si="3"/>
        <v>36039</v>
      </c>
      <c r="S5" s="3">
        <f t="shared" si="4"/>
        <v>63159</v>
      </c>
      <c r="T5" s="3">
        <f t="shared" si="5"/>
        <v>42224</v>
      </c>
      <c r="U5" s="3">
        <f t="shared" si="6"/>
        <v>1767</v>
      </c>
      <c r="V5" s="3">
        <f t="shared" si="7"/>
        <v>107150</v>
      </c>
      <c r="X5" s="4">
        <f t="shared" si="8"/>
        <v>0.58944470368642088</v>
      </c>
      <c r="Y5" s="4">
        <f t="shared" si="9"/>
        <v>0.3940643957069529</v>
      </c>
      <c r="Z5" s="4">
        <f t="shared" si="10"/>
        <v>1.6490900606626224E-2</v>
      </c>
      <c r="AA5" t="str">
        <f t="shared" si="11"/>
        <v>Yes</v>
      </c>
    </row>
    <row r="6" spans="1:27" x14ac:dyDescent="0.25">
      <c r="A6">
        <v>5</v>
      </c>
      <c r="C6" t="s">
        <v>4</v>
      </c>
      <c r="D6" t="s">
        <v>4</v>
      </c>
      <c r="E6" t="s">
        <v>4</v>
      </c>
      <c r="F6" t="str">
        <f t="shared" si="0"/>
        <v>Homogeneous</v>
      </c>
      <c r="G6" t="str">
        <f t="shared" si="1"/>
        <v>Homogeneous</v>
      </c>
      <c r="I6" s="2">
        <f>16223+16107</f>
        <v>32330</v>
      </c>
      <c r="J6" s="2">
        <f>13051+12308</f>
        <v>25359</v>
      </c>
      <c r="L6" s="2">
        <f t="shared" si="2"/>
        <v>57689</v>
      </c>
      <c r="N6" s="2">
        <v>16283</v>
      </c>
      <c r="O6" s="3">
        <v>12903</v>
      </c>
      <c r="Q6" s="3">
        <f t="shared" si="3"/>
        <v>29186</v>
      </c>
      <c r="S6" s="3">
        <f t="shared" si="4"/>
        <v>48613</v>
      </c>
      <c r="T6" s="3">
        <f t="shared" si="5"/>
        <v>38262</v>
      </c>
      <c r="U6" s="3">
        <f t="shared" si="6"/>
        <v>0</v>
      </c>
      <c r="V6" s="3">
        <f t="shared" si="7"/>
        <v>86875</v>
      </c>
      <c r="X6" s="4">
        <f t="shared" si="8"/>
        <v>0.55957410071942448</v>
      </c>
      <c r="Y6" s="4">
        <f t="shared" si="9"/>
        <v>0.44042589928057552</v>
      </c>
      <c r="Z6" s="4">
        <f t="shared" si="10"/>
        <v>0</v>
      </c>
      <c r="AA6" t="str">
        <f t="shared" si="11"/>
        <v>Yes</v>
      </c>
    </row>
    <row r="7" spans="1:27" x14ac:dyDescent="0.25">
      <c r="A7">
        <v>6</v>
      </c>
      <c r="C7" t="s">
        <v>4</v>
      </c>
      <c r="D7" t="s">
        <v>4</v>
      </c>
      <c r="E7" t="s">
        <v>4</v>
      </c>
      <c r="F7" t="str">
        <f t="shared" si="0"/>
        <v>Homogeneous</v>
      </c>
      <c r="G7" t="str">
        <f t="shared" si="1"/>
        <v>Homogeneous</v>
      </c>
      <c r="I7" s="2">
        <f>21941+21093</f>
        <v>43034</v>
      </c>
      <c r="J7" s="2">
        <f>15291+15112</f>
        <v>30403</v>
      </c>
      <c r="L7" s="2">
        <f t="shared" si="2"/>
        <v>73437</v>
      </c>
      <c r="N7" s="2">
        <v>22902</v>
      </c>
      <c r="O7" s="3">
        <v>14110</v>
      </c>
      <c r="Q7" s="3">
        <f t="shared" si="3"/>
        <v>37012</v>
      </c>
      <c r="S7" s="3">
        <f t="shared" si="4"/>
        <v>65936</v>
      </c>
      <c r="T7" s="3">
        <f t="shared" si="5"/>
        <v>44513</v>
      </c>
      <c r="U7" s="3">
        <f t="shared" si="6"/>
        <v>0</v>
      </c>
      <c r="V7" s="3">
        <f t="shared" si="7"/>
        <v>110449</v>
      </c>
      <c r="X7" s="4">
        <f t="shared" si="8"/>
        <v>0.59698141223551138</v>
      </c>
      <c r="Y7" s="4">
        <f t="shared" si="9"/>
        <v>0.40301858776448857</v>
      </c>
      <c r="Z7" s="4">
        <f t="shared" si="10"/>
        <v>0</v>
      </c>
      <c r="AA7" t="str">
        <f t="shared" si="11"/>
        <v>Yes</v>
      </c>
    </row>
    <row r="8" spans="1:27" x14ac:dyDescent="0.25">
      <c r="A8">
        <v>7</v>
      </c>
      <c r="B8" t="s">
        <v>7</v>
      </c>
      <c r="C8" t="s">
        <v>4</v>
      </c>
      <c r="D8" t="s">
        <v>4</v>
      </c>
      <c r="E8" t="s">
        <v>5</v>
      </c>
      <c r="F8" t="str">
        <f t="shared" si="0"/>
        <v>Homogeneous</v>
      </c>
      <c r="G8" t="str">
        <f t="shared" si="1"/>
        <v>Different!</v>
      </c>
      <c r="I8" s="2">
        <f>22558+22088</f>
        <v>44646</v>
      </c>
      <c r="J8" s="2">
        <f>20608+20338</f>
        <v>40946</v>
      </c>
      <c r="L8" s="2">
        <f t="shared" si="2"/>
        <v>85592</v>
      </c>
      <c r="N8" s="2">
        <v>19279</v>
      </c>
      <c r="O8" s="3">
        <v>25166</v>
      </c>
      <c r="Q8" s="3">
        <f t="shared" si="3"/>
        <v>44445</v>
      </c>
      <c r="S8" s="3">
        <f t="shared" si="4"/>
        <v>63925</v>
      </c>
      <c r="T8" s="3">
        <f t="shared" si="5"/>
        <v>66112</v>
      </c>
      <c r="U8" s="3">
        <f t="shared" si="6"/>
        <v>0</v>
      </c>
      <c r="V8" s="3">
        <f t="shared" si="7"/>
        <v>130037</v>
      </c>
      <c r="X8" s="4">
        <f t="shared" si="8"/>
        <v>0.49159085491052545</v>
      </c>
      <c r="Y8" s="4">
        <f t="shared" si="9"/>
        <v>0.50840914508947455</v>
      </c>
      <c r="Z8" s="4">
        <f t="shared" si="10"/>
        <v>0</v>
      </c>
      <c r="AA8" t="str">
        <f t="shared" si="11"/>
        <v>Yes</v>
      </c>
    </row>
    <row r="9" spans="1:27" x14ac:dyDescent="0.25">
      <c r="A9">
        <v>8</v>
      </c>
      <c r="C9" t="s">
        <v>5</v>
      </c>
      <c r="D9" t="s">
        <v>5</v>
      </c>
      <c r="E9" t="s">
        <v>5</v>
      </c>
      <c r="F9" t="str">
        <f t="shared" si="0"/>
        <v>Homogeneous</v>
      </c>
      <c r="G9" t="str">
        <f t="shared" si="1"/>
        <v>Homogeneous</v>
      </c>
      <c r="I9" s="2">
        <f>11584+11245</f>
        <v>22829</v>
      </c>
      <c r="J9" s="2">
        <f>18274+18105</f>
        <v>36379</v>
      </c>
      <c r="K9" s="2">
        <v>1568</v>
      </c>
      <c r="L9" s="2">
        <f t="shared" si="2"/>
        <v>60776</v>
      </c>
      <c r="Q9" s="3">
        <f t="shared" si="3"/>
        <v>0</v>
      </c>
      <c r="S9" s="3">
        <f t="shared" si="4"/>
        <v>22829</v>
      </c>
      <c r="T9" s="3">
        <f t="shared" si="5"/>
        <v>36379</v>
      </c>
      <c r="U9" s="3">
        <f t="shared" si="6"/>
        <v>1568</v>
      </c>
      <c r="V9" s="3">
        <f t="shared" si="7"/>
        <v>60776</v>
      </c>
      <c r="X9" s="4">
        <f t="shared" si="8"/>
        <v>0.37562524680795051</v>
      </c>
      <c r="Y9" s="4">
        <f t="shared" si="9"/>
        <v>0.5985750954324075</v>
      </c>
      <c r="Z9" s="4">
        <f t="shared" si="10"/>
        <v>2.5799657759641964E-2</v>
      </c>
      <c r="AA9" t="str">
        <f t="shared" si="11"/>
        <v>Yes</v>
      </c>
    </row>
    <row r="10" spans="1:27" x14ac:dyDescent="0.25">
      <c r="A10">
        <v>9</v>
      </c>
      <c r="C10" t="s">
        <v>5</v>
      </c>
      <c r="D10" t="s">
        <v>5</v>
      </c>
      <c r="E10" t="s">
        <v>5</v>
      </c>
      <c r="F10" t="str">
        <f t="shared" si="0"/>
        <v>Homogeneous</v>
      </c>
      <c r="G10" t="str">
        <f t="shared" si="1"/>
        <v>Homogeneous</v>
      </c>
      <c r="I10" s="2">
        <f>17335+17039</f>
        <v>34374</v>
      </c>
      <c r="J10" s="2">
        <f>30494+29493</f>
        <v>59987</v>
      </c>
      <c r="L10" s="2">
        <f t="shared" si="2"/>
        <v>94361</v>
      </c>
      <c r="N10" s="2">
        <v>17017</v>
      </c>
      <c r="O10" s="3">
        <v>31601</v>
      </c>
      <c r="Q10" s="3">
        <f t="shared" si="3"/>
        <v>48618</v>
      </c>
      <c r="S10" s="3">
        <f t="shared" si="4"/>
        <v>51391</v>
      </c>
      <c r="T10" s="3">
        <f t="shared" si="5"/>
        <v>91588</v>
      </c>
      <c r="U10" s="3">
        <f t="shared" si="6"/>
        <v>0</v>
      </c>
      <c r="V10" s="3">
        <f t="shared" si="7"/>
        <v>142979</v>
      </c>
      <c r="X10" s="4">
        <f t="shared" si="8"/>
        <v>0.35943040586379815</v>
      </c>
      <c r="Y10" s="4">
        <f t="shared" si="9"/>
        <v>0.64056959413620185</v>
      </c>
      <c r="Z10" s="4">
        <f t="shared" si="10"/>
        <v>0</v>
      </c>
      <c r="AA10" t="str">
        <f t="shared" si="11"/>
        <v>Yes</v>
      </c>
    </row>
    <row r="11" spans="1:27" x14ac:dyDescent="0.25">
      <c r="A11">
        <v>10</v>
      </c>
      <c r="C11" t="s">
        <v>5</v>
      </c>
      <c r="D11" t="s">
        <v>5</v>
      </c>
      <c r="E11" t="s">
        <v>5</v>
      </c>
      <c r="F11" t="str">
        <f t="shared" si="0"/>
        <v>Homogeneous</v>
      </c>
      <c r="G11" t="str">
        <f t="shared" si="1"/>
        <v>Homogeneous</v>
      </c>
      <c r="I11" s="2">
        <f>16870+15661</f>
        <v>32531</v>
      </c>
      <c r="J11" s="2">
        <f>27878+26755</f>
        <v>54633</v>
      </c>
      <c r="L11" s="2">
        <f t="shared" si="2"/>
        <v>87164</v>
      </c>
      <c r="N11" s="2">
        <v>16066</v>
      </c>
      <c r="O11" s="3">
        <v>28600</v>
      </c>
      <c r="Q11" s="3">
        <f t="shared" si="3"/>
        <v>44666</v>
      </c>
      <c r="S11" s="3">
        <f t="shared" si="4"/>
        <v>48597</v>
      </c>
      <c r="T11" s="3">
        <f t="shared" si="5"/>
        <v>83233</v>
      </c>
      <c r="U11" s="3">
        <f t="shared" si="6"/>
        <v>0</v>
      </c>
      <c r="V11" s="3">
        <f t="shared" si="7"/>
        <v>131830</v>
      </c>
      <c r="X11" s="4">
        <f t="shared" si="8"/>
        <v>0.3686338466206478</v>
      </c>
      <c r="Y11" s="4">
        <f t="shared" si="9"/>
        <v>0.6313661533793522</v>
      </c>
      <c r="Z11" s="4">
        <f t="shared" si="10"/>
        <v>0</v>
      </c>
      <c r="AA11" t="str">
        <f t="shared" si="11"/>
        <v>Yes</v>
      </c>
    </row>
    <row r="12" spans="1:27" x14ac:dyDescent="0.25">
      <c r="A12">
        <v>11</v>
      </c>
      <c r="C12" t="s">
        <v>5</v>
      </c>
      <c r="D12" t="s">
        <v>5</v>
      </c>
      <c r="E12" t="s">
        <v>5</v>
      </c>
      <c r="F12" t="str">
        <f t="shared" si="0"/>
        <v>Homogeneous</v>
      </c>
      <c r="G12" t="str">
        <f t="shared" si="1"/>
        <v>Homogeneous</v>
      </c>
      <c r="I12" s="2">
        <f>15333+15000</f>
        <v>30333</v>
      </c>
      <c r="J12" s="2">
        <f>18679+18420</f>
        <v>37099</v>
      </c>
      <c r="K12" s="2">
        <v>2340</v>
      </c>
      <c r="L12" s="2">
        <f t="shared" si="2"/>
        <v>69772</v>
      </c>
      <c r="N12" s="2">
        <v>15419</v>
      </c>
      <c r="O12" s="3">
        <v>20156</v>
      </c>
      <c r="Q12" s="3">
        <f t="shared" si="3"/>
        <v>35575</v>
      </c>
      <c r="S12" s="3">
        <f t="shared" si="4"/>
        <v>45752</v>
      </c>
      <c r="T12" s="3">
        <f t="shared" si="5"/>
        <v>57255</v>
      </c>
      <c r="U12" s="3">
        <f t="shared" si="6"/>
        <v>2340</v>
      </c>
      <c r="V12" s="3">
        <f t="shared" si="7"/>
        <v>105347</v>
      </c>
      <c r="X12" s="4">
        <f t="shared" si="8"/>
        <v>0.43429808157802313</v>
      </c>
      <c r="Y12" s="4">
        <f t="shared" si="9"/>
        <v>0.54348961052521672</v>
      </c>
      <c r="Z12" s="4">
        <f t="shared" si="10"/>
        <v>2.2212307896760229E-2</v>
      </c>
      <c r="AA12" t="str">
        <f t="shared" si="11"/>
        <v>Yes</v>
      </c>
    </row>
    <row r="13" spans="1:27" x14ac:dyDescent="0.25">
      <c r="A13">
        <v>12</v>
      </c>
      <c r="C13" t="s">
        <v>5</v>
      </c>
      <c r="D13" t="s">
        <v>5</v>
      </c>
      <c r="E13" t="s">
        <v>5</v>
      </c>
      <c r="F13" t="str">
        <f t="shared" si="0"/>
        <v>Homogeneous</v>
      </c>
      <c r="G13" t="str">
        <f t="shared" si="1"/>
        <v>Homogeneous</v>
      </c>
      <c r="I13" s="2">
        <f>11928+11886</f>
        <v>23814</v>
      </c>
      <c r="J13" s="2">
        <f>17726+17036</f>
        <v>34762</v>
      </c>
      <c r="L13" s="2">
        <f t="shared" si="2"/>
        <v>58576</v>
      </c>
      <c r="N13" s="2">
        <v>12008</v>
      </c>
      <c r="O13" s="3">
        <v>17939</v>
      </c>
      <c r="Q13" s="3">
        <f t="shared" si="3"/>
        <v>29947</v>
      </c>
      <c r="S13" s="3">
        <f t="shared" si="4"/>
        <v>35822</v>
      </c>
      <c r="T13" s="3">
        <f t="shared" si="5"/>
        <v>52701</v>
      </c>
      <c r="U13" s="3">
        <f t="shared" si="6"/>
        <v>0</v>
      </c>
      <c r="V13" s="3">
        <f t="shared" si="7"/>
        <v>88523</v>
      </c>
      <c r="X13" s="4">
        <f t="shared" si="8"/>
        <v>0.40466319487590796</v>
      </c>
      <c r="Y13" s="4">
        <f t="shared" si="9"/>
        <v>0.59533680512409204</v>
      </c>
      <c r="Z13" s="4">
        <f t="shared" si="10"/>
        <v>0</v>
      </c>
      <c r="AA13" t="str">
        <f t="shared" si="11"/>
        <v>Yes</v>
      </c>
    </row>
    <row r="14" spans="1:27" x14ac:dyDescent="0.25">
      <c r="A14">
        <v>13</v>
      </c>
      <c r="C14" t="s">
        <v>5</v>
      </c>
      <c r="D14" t="s">
        <v>5</v>
      </c>
      <c r="E14" t="s">
        <v>5</v>
      </c>
      <c r="F14" t="str">
        <f t="shared" si="0"/>
        <v>Homogeneous</v>
      </c>
      <c r="G14" t="str">
        <f t="shared" si="1"/>
        <v>Homogeneous</v>
      </c>
      <c r="I14" s="2">
        <f>15287+15118</f>
        <v>30405</v>
      </c>
      <c r="J14" s="2">
        <f>23993+22685</f>
        <v>46678</v>
      </c>
      <c r="K14" s="2">
        <f>830+751</f>
        <v>1581</v>
      </c>
      <c r="L14" s="2">
        <f t="shared" si="2"/>
        <v>78664</v>
      </c>
      <c r="N14" s="2">
        <v>14739</v>
      </c>
      <c r="O14" s="3">
        <v>24041</v>
      </c>
      <c r="P14" s="3">
        <f>554+515+257</f>
        <v>1326</v>
      </c>
      <c r="Q14" s="3">
        <f t="shared" si="3"/>
        <v>40106</v>
      </c>
      <c r="S14" s="3">
        <f t="shared" si="4"/>
        <v>45144</v>
      </c>
      <c r="T14" s="3">
        <f t="shared" si="5"/>
        <v>70719</v>
      </c>
      <c r="U14" s="3">
        <f t="shared" si="6"/>
        <v>2907</v>
      </c>
      <c r="V14" s="3">
        <f t="shared" si="7"/>
        <v>118770</v>
      </c>
      <c r="X14" s="4">
        <f t="shared" si="8"/>
        <v>0.3800959838343016</v>
      </c>
      <c r="Y14" s="4">
        <f t="shared" si="9"/>
        <v>0.59542813841879261</v>
      </c>
      <c r="Z14" s="4">
        <f t="shared" si="10"/>
        <v>2.4475877746905784E-2</v>
      </c>
      <c r="AA14" t="str">
        <f t="shared" si="11"/>
        <v>Yes</v>
      </c>
    </row>
    <row r="15" spans="1:27" x14ac:dyDescent="0.25">
      <c r="A15">
        <v>14</v>
      </c>
      <c r="C15" t="s">
        <v>4</v>
      </c>
      <c r="D15" t="s">
        <v>4</v>
      </c>
      <c r="E15" t="s">
        <v>4</v>
      </c>
      <c r="F15" t="str">
        <f t="shared" si="0"/>
        <v>Homogeneous</v>
      </c>
      <c r="G15" t="str">
        <f t="shared" si="1"/>
        <v>Homogeneous</v>
      </c>
      <c r="I15" s="2">
        <f>25927+24996</f>
        <v>50923</v>
      </c>
      <c r="J15" s="2">
        <f>18587+18530</f>
        <v>37117</v>
      </c>
      <c r="K15" s="2">
        <v>1134</v>
      </c>
      <c r="L15" s="2">
        <f t="shared" si="2"/>
        <v>89174</v>
      </c>
      <c r="N15" s="2">
        <v>25442</v>
      </c>
      <c r="O15" s="3">
        <v>20623</v>
      </c>
      <c r="Q15" s="3">
        <f t="shared" si="3"/>
        <v>46065</v>
      </c>
      <c r="S15" s="3">
        <f t="shared" si="4"/>
        <v>76365</v>
      </c>
      <c r="T15" s="3">
        <f t="shared" si="5"/>
        <v>57740</v>
      </c>
      <c r="U15" s="3">
        <f t="shared" si="6"/>
        <v>1134</v>
      </c>
      <c r="V15" s="3">
        <f t="shared" si="7"/>
        <v>135239</v>
      </c>
      <c r="X15" s="4">
        <f t="shared" si="8"/>
        <v>0.56466699694614719</v>
      </c>
      <c r="Y15" s="4">
        <f t="shared" si="9"/>
        <v>0.42694784788411627</v>
      </c>
      <c r="Z15" s="4">
        <f t="shared" si="10"/>
        <v>8.3851551697365408E-3</v>
      </c>
      <c r="AA15" t="str">
        <f t="shared" si="11"/>
        <v>Yes</v>
      </c>
    </row>
    <row r="16" spans="1:27" x14ac:dyDescent="0.25">
      <c r="A16">
        <v>15</v>
      </c>
      <c r="C16" t="s">
        <v>4</v>
      </c>
      <c r="D16" t="s">
        <v>4</v>
      </c>
      <c r="E16" t="s">
        <v>4</v>
      </c>
      <c r="F16" t="str">
        <f t="shared" si="0"/>
        <v>Homogeneous</v>
      </c>
      <c r="G16" t="str">
        <f t="shared" si="1"/>
        <v>Homogeneous</v>
      </c>
      <c r="I16" s="2">
        <f>20406+20248</f>
        <v>40654</v>
      </c>
      <c r="J16" s="2">
        <f>10872+10774</f>
        <v>21646</v>
      </c>
      <c r="L16" s="2">
        <f t="shared" si="2"/>
        <v>62300</v>
      </c>
      <c r="N16" s="2">
        <v>21402</v>
      </c>
      <c r="O16" s="3">
        <v>10862</v>
      </c>
      <c r="Q16" s="3">
        <f t="shared" si="3"/>
        <v>32264</v>
      </c>
      <c r="S16" s="3">
        <f t="shared" si="4"/>
        <v>62056</v>
      </c>
      <c r="T16" s="3">
        <f t="shared" si="5"/>
        <v>32508</v>
      </c>
      <c r="U16" s="3">
        <f t="shared" si="6"/>
        <v>0</v>
      </c>
      <c r="V16" s="3">
        <f t="shared" si="7"/>
        <v>94564</v>
      </c>
      <c r="X16" s="4">
        <f t="shared" si="8"/>
        <v>0.65623281587073301</v>
      </c>
      <c r="Y16" s="4">
        <f t="shared" si="9"/>
        <v>0.34376718412926693</v>
      </c>
      <c r="Z16" s="4">
        <f t="shared" si="10"/>
        <v>0</v>
      </c>
      <c r="AA16" t="str">
        <f t="shared" si="11"/>
        <v>Yes</v>
      </c>
    </row>
    <row r="17" spans="1:27" x14ac:dyDescent="0.25">
      <c r="A17">
        <v>16</v>
      </c>
      <c r="C17" t="s">
        <v>5</v>
      </c>
      <c r="D17" t="s">
        <v>5</v>
      </c>
      <c r="E17" t="s">
        <v>5</v>
      </c>
      <c r="F17" t="str">
        <f t="shared" si="0"/>
        <v>Homogeneous</v>
      </c>
      <c r="G17" t="str">
        <f t="shared" si="1"/>
        <v>Homogeneous</v>
      </c>
      <c r="I17" s="2">
        <f>17516+17511</f>
        <v>35027</v>
      </c>
      <c r="J17" s="2">
        <f>20119+19567</f>
        <v>39686</v>
      </c>
      <c r="L17" s="2">
        <f t="shared" si="2"/>
        <v>74713</v>
      </c>
      <c r="N17" s="2">
        <v>17186</v>
      </c>
      <c r="O17" s="3">
        <v>20790</v>
      </c>
      <c r="Q17" s="3">
        <f t="shared" si="3"/>
        <v>37976</v>
      </c>
      <c r="S17" s="3">
        <f t="shared" si="4"/>
        <v>52213</v>
      </c>
      <c r="T17" s="3">
        <f t="shared" si="5"/>
        <v>60476</v>
      </c>
      <c r="U17" s="3">
        <f t="shared" si="6"/>
        <v>0</v>
      </c>
      <c r="V17" s="3">
        <f t="shared" si="7"/>
        <v>112689</v>
      </c>
      <c r="X17" s="4">
        <f t="shared" si="8"/>
        <v>0.46333714914499197</v>
      </c>
      <c r="Y17" s="4">
        <f t="shared" si="9"/>
        <v>0.53666285085500798</v>
      </c>
      <c r="Z17" s="4">
        <f t="shared" si="10"/>
        <v>0</v>
      </c>
      <c r="AA17" t="str">
        <f t="shared" si="11"/>
        <v>Yes</v>
      </c>
    </row>
    <row r="18" spans="1:27" x14ac:dyDescent="0.25">
      <c r="A18">
        <v>17</v>
      </c>
      <c r="C18" t="s">
        <v>4</v>
      </c>
      <c r="D18" t="s">
        <v>4</v>
      </c>
      <c r="E18" t="s">
        <v>4</v>
      </c>
      <c r="F18" t="str">
        <f t="shared" si="0"/>
        <v>Homogeneous</v>
      </c>
      <c r="G18" t="str">
        <f t="shared" si="1"/>
        <v>Homogeneous</v>
      </c>
      <c r="I18" s="2">
        <f>14654+14371</f>
        <v>29025</v>
      </c>
      <c r="J18" s="2">
        <f>8603+8363</f>
        <v>16966</v>
      </c>
      <c r="L18" s="2">
        <f t="shared" si="2"/>
        <v>45991</v>
      </c>
      <c r="N18" s="2">
        <v>14962</v>
      </c>
      <c r="O18" s="3">
        <v>8461</v>
      </c>
      <c r="Q18" s="3">
        <f t="shared" si="3"/>
        <v>23423</v>
      </c>
      <c r="S18" s="3">
        <f t="shared" si="4"/>
        <v>43987</v>
      </c>
      <c r="T18" s="3">
        <f t="shared" si="5"/>
        <v>25427</v>
      </c>
      <c r="U18" s="3">
        <f t="shared" si="6"/>
        <v>0</v>
      </c>
      <c r="V18" s="3">
        <f t="shared" si="7"/>
        <v>69414</v>
      </c>
      <c r="X18" s="4">
        <f t="shared" si="8"/>
        <v>0.63369060996340798</v>
      </c>
      <c r="Y18" s="4">
        <f t="shared" si="9"/>
        <v>0.36630939003659202</v>
      </c>
      <c r="Z18" s="4">
        <f t="shared" si="10"/>
        <v>0</v>
      </c>
      <c r="AA18" t="str">
        <f t="shared" si="11"/>
        <v>Yes</v>
      </c>
    </row>
    <row r="19" spans="1:27" x14ac:dyDescent="0.25">
      <c r="A19">
        <v>18</v>
      </c>
      <c r="C19" t="s">
        <v>4</v>
      </c>
      <c r="D19" t="s">
        <v>4</v>
      </c>
      <c r="E19" t="s">
        <v>4</v>
      </c>
      <c r="F19" t="str">
        <f t="shared" si="0"/>
        <v>Homogeneous</v>
      </c>
      <c r="G19" t="str">
        <f t="shared" si="1"/>
        <v>Homogeneous</v>
      </c>
      <c r="I19" s="2">
        <f>17061+16945</f>
        <v>34006</v>
      </c>
      <c r="J19" s="2">
        <f>13233+12648</f>
        <v>25881</v>
      </c>
      <c r="L19" s="2">
        <f t="shared" si="2"/>
        <v>59887</v>
      </c>
      <c r="N19" s="2">
        <v>18423</v>
      </c>
      <c r="O19" s="3">
        <v>12354</v>
      </c>
      <c r="Q19" s="3">
        <f t="shared" si="3"/>
        <v>30777</v>
      </c>
      <c r="S19" s="3">
        <f t="shared" si="4"/>
        <v>52429</v>
      </c>
      <c r="T19" s="3">
        <f t="shared" si="5"/>
        <v>38235</v>
      </c>
      <c r="U19" s="3">
        <f t="shared" si="6"/>
        <v>0</v>
      </c>
      <c r="V19" s="3">
        <f t="shared" si="7"/>
        <v>90664</v>
      </c>
      <c r="X19" s="4">
        <f t="shared" si="8"/>
        <v>0.57827803758934082</v>
      </c>
      <c r="Y19" s="4">
        <f t="shared" si="9"/>
        <v>0.42172196241065912</v>
      </c>
      <c r="Z19" s="4">
        <f t="shared" si="10"/>
        <v>0</v>
      </c>
      <c r="AA19" t="str">
        <f t="shared" si="11"/>
        <v>Yes</v>
      </c>
    </row>
    <row r="20" spans="1:27" x14ac:dyDescent="0.25">
      <c r="A20">
        <v>19</v>
      </c>
      <c r="C20" t="s">
        <v>4</v>
      </c>
      <c r="D20" t="s">
        <v>4</v>
      </c>
      <c r="E20" t="s">
        <v>4</v>
      </c>
      <c r="F20" t="str">
        <f t="shared" si="0"/>
        <v>Homogeneous</v>
      </c>
      <c r="G20" t="str">
        <f t="shared" si="1"/>
        <v>Homogeneous</v>
      </c>
      <c r="I20" s="2">
        <f>17364+16652</f>
        <v>34016</v>
      </c>
      <c r="J20" s="2">
        <f>8599+8473</f>
        <v>17072</v>
      </c>
      <c r="L20" s="2">
        <f t="shared" si="2"/>
        <v>51088</v>
      </c>
      <c r="N20" s="2">
        <v>17687</v>
      </c>
      <c r="O20" s="3">
        <v>8824</v>
      </c>
      <c r="Q20" s="3">
        <f t="shared" si="3"/>
        <v>26511</v>
      </c>
      <c r="S20" s="3">
        <f t="shared" si="4"/>
        <v>51703</v>
      </c>
      <c r="T20" s="3">
        <f t="shared" si="5"/>
        <v>25896</v>
      </c>
      <c r="U20" s="3">
        <f t="shared" si="6"/>
        <v>0</v>
      </c>
      <c r="V20" s="3">
        <f t="shared" si="7"/>
        <v>77599</v>
      </c>
      <c r="X20" s="4">
        <f t="shared" si="8"/>
        <v>0.66628435933452745</v>
      </c>
      <c r="Y20" s="4">
        <f t="shared" si="9"/>
        <v>0.33371564066547249</v>
      </c>
      <c r="Z20" s="4">
        <f t="shared" si="10"/>
        <v>0</v>
      </c>
      <c r="AA20" t="str">
        <f t="shared" si="11"/>
        <v>Yes</v>
      </c>
    </row>
    <row r="21" spans="1:27" x14ac:dyDescent="0.25">
      <c r="A21">
        <v>20</v>
      </c>
      <c r="C21" t="s">
        <v>4</v>
      </c>
      <c r="D21" t="s">
        <v>4</v>
      </c>
      <c r="E21" t="s">
        <v>4</v>
      </c>
      <c r="F21" t="str">
        <f t="shared" si="0"/>
        <v>Homogeneous</v>
      </c>
      <c r="G21" t="str">
        <f t="shared" si="1"/>
        <v>Homogeneous</v>
      </c>
      <c r="I21" s="2">
        <f>12057+12043</f>
        <v>24100</v>
      </c>
      <c r="J21" s="2">
        <v>4106</v>
      </c>
      <c r="L21" s="2">
        <f t="shared" si="2"/>
        <v>28206</v>
      </c>
      <c r="N21" s="2">
        <v>12448</v>
      </c>
      <c r="O21" s="3">
        <v>4027</v>
      </c>
      <c r="Q21" s="3">
        <f t="shared" si="3"/>
        <v>16475</v>
      </c>
      <c r="S21" s="3">
        <f t="shared" si="4"/>
        <v>36548</v>
      </c>
      <c r="T21" s="3">
        <f t="shared" si="5"/>
        <v>8133</v>
      </c>
      <c r="U21" s="3">
        <f t="shared" si="6"/>
        <v>0</v>
      </c>
      <c r="V21" s="3">
        <f t="shared" si="7"/>
        <v>44681</v>
      </c>
      <c r="X21" s="4">
        <f t="shared" si="8"/>
        <v>0.81797632103131079</v>
      </c>
      <c r="Y21" s="4">
        <f t="shared" si="9"/>
        <v>0.18202367896868915</v>
      </c>
      <c r="Z21" s="4">
        <f t="shared" si="10"/>
        <v>0</v>
      </c>
      <c r="AA21" t="str">
        <f t="shared" si="11"/>
        <v>No</v>
      </c>
    </row>
    <row r="22" spans="1:27" x14ac:dyDescent="0.25">
      <c r="A22">
        <v>21</v>
      </c>
      <c r="C22" t="s">
        <v>5</v>
      </c>
      <c r="D22" t="s">
        <v>5</v>
      </c>
      <c r="E22" t="s">
        <v>5</v>
      </c>
      <c r="F22" t="str">
        <f t="shared" si="0"/>
        <v>Homogeneous</v>
      </c>
      <c r="G22" t="str">
        <f t="shared" si="1"/>
        <v>Homogeneous</v>
      </c>
      <c r="I22" s="2">
        <f>13809+13798</f>
        <v>27607</v>
      </c>
      <c r="J22" s="2">
        <f>25388+25206</f>
        <v>50594</v>
      </c>
      <c r="K22" s="2">
        <v>1313</v>
      </c>
      <c r="L22" s="2">
        <f t="shared" si="2"/>
        <v>79514</v>
      </c>
      <c r="N22" s="2">
        <v>13287</v>
      </c>
      <c r="O22" s="3">
        <v>27636</v>
      </c>
      <c r="Q22" s="3">
        <f t="shared" si="3"/>
        <v>40923</v>
      </c>
      <c r="S22" s="3">
        <f t="shared" si="4"/>
        <v>40894</v>
      </c>
      <c r="T22" s="3">
        <f t="shared" si="5"/>
        <v>78230</v>
      </c>
      <c r="U22" s="3">
        <f t="shared" si="6"/>
        <v>1313</v>
      </c>
      <c r="V22" s="3">
        <f t="shared" si="7"/>
        <v>120437</v>
      </c>
      <c r="X22" s="4">
        <f t="shared" si="8"/>
        <v>0.33954681700806233</v>
      </c>
      <c r="Y22" s="4">
        <f t="shared" si="9"/>
        <v>0.64955121764906132</v>
      </c>
      <c r="Z22" s="4">
        <f t="shared" si="10"/>
        <v>1.0901965342876359E-2</v>
      </c>
      <c r="AA22" t="str">
        <f t="shared" si="11"/>
        <v>Yes</v>
      </c>
    </row>
    <row r="23" spans="1:27" x14ac:dyDescent="0.25">
      <c r="A23">
        <v>22</v>
      </c>
      <c r="C23" t="s">
        <v>4</v>
      </c>
      <c r="D23" t="s">
        <v>4</v>
      </c>
      <c r="E23" t="s">
        <v>4</v>
      </c>
      <c r="F23" t="str">
        <f t="shared" si="0"/>
        <v>Homogeneous</v>
      </c>
      <c r="G23" t="str">
        <f t="shared" si="1"/>
        <v>Homogeneous</v>
      </c>
      <c r="I23" s="2">
        <f>15651+14859</f>
        <v>30510</v>
      </c>
      <c r="J23" s="2">
        <f>10779+10027</f>
        <v>20806</v>
      </c>
      <c r="L23" s="2">
        <f t="shared" si="2"/>
        <v>51316</v>
      </c>
      <c r="N23" s="2">
        <v>15995</v>
      </c>
      <c r="O23" s="3">
        <v>9962</v>
      </c>
      <c r="Q23" s="3">
        <f t="shared" si="3"/>
        <v>25957</v>
      </c>
      <c r="S23" s="3">
        <f t="shared" si="4"/>
        <v>46505</v>
      </c>
      <c r="T23" s="3">
        <f t="shared" si="5"/>
        <v>30768</v>
      </c>
      <c r="U23" s="3">
        <f t="shared" si="6"/>
        <v>0</v>
      </c>
      <c r="V23" s="3">
        <f t="shared" si="7"/>
        <v>77273</v>
      </c>
      <c r="X23" s="4">
        <f t="shared" si="8"/>
        <v>0.60182728766839644</v>
      </c>
      <c r="Y23" s="4">
        <f t="shared" si="9"/>
        <v>0.39817271233160356</v>
      </c>
      <c r="Z23" s="4">
        <f t="shared" si="10"/>
        <v>0</v>
      </c>
      <c r="AA23" t="str">
        <f t="shared" si="11"/>
        <v>Yes</v>
      </c>
    </row>
    <row r="24" spans="1:27" x14ac:dyDescent="0.25">
      <c r="A24">
        <v>23</v>
      </c>
      <c r="C24" t="s">
        <v>5</v>
      </c>
      <c r="D24" t="s">
        <v>5</v>
      </c>
      <c r="E24" t="s">
        <v>5</v>
      </c>
      <c r="F24" t="str">
        <f t="shared" si="0"/>
        <v>Homogeneous</v>
      </c>
      <c r="G24" t="str">
        <f t="shared" si="1"/>
        <v>Homogeneous</v>
      </c>
      <c r="I24" s="2">
        <f>13222+12273</f>
        <v>25495</v>
      </c>
      <c r="J24" s="2">
        <f>21161+20956</f>
        <v>42117</v>
      </c>
      <c r="L24" s="2">
        <f t="shared" si="2"/>
        <v>67612</v>
      </c>
      <c r="N24" s="2">
        <v>12440</v>
      </c>
      <c r="O24" s="3">
        <v>21452</v>
      </c>
      <c r="P24" s="3">
        <v>1030</v>
      </c>
      <c r="Q24" s="3">
        <f t="shared" si="3"/>
        <v>34922</v>
      </c>
      <c r="S24" s="3">
        <f t="shared" si="4"/>
        <v>37935</v>
      </c>
      <c r="T24" s="3">
        <f t="shared" si="5"/>
        <v>63569</v>
      </c>
      <c r="U24" s="3">
        <f t="shared" si="6"/>
        <v>1030</v>
      </c>
      <c r="V24" s="3">
        <f t="shared" si="7"/>
        <v>102534</v>
      </c>
      <c r="X24" s="4">
        <f t="shared" si="8"/>
        <v>0.36997483761483996</v>
      </c>
      <c r="Y24" s="4">
        <f t="shared" si="9"/>
        <v>0.61997971404607255</v>
      </c>
      <c r="Z24" s="4">
        <f t="shared" si="10"/>
        <v>1.0045448339087522E-2</v>
      </c>
      <c r="AA24" t="str">
        <f t="shared" si="11"/>
        <v>Yes</v>
      </c>
    </row>
    <row r="25" spans="1:27" x14ac:dyDescent="0.25">
      <c r="A25">
        <v>24</v>
      </c>
      <c r="C25" t="s">
        <v>5</v>
      </c>
      <c r="D25" t="s">
        <v>5</v>
      </c>
      <c r="E25" t="s">
        <v>5</v>
      </c>
      <c r="F25" t="str">
        <f t="shared" si="0"/>
        <v>Homogeneous</v>
      </c>
      <c r="G25" t="str">
        <f t="shared" si="1"/>
        <v>Homogeneous</v>
      </c>
      <c r="I25" s="2">
        <f>10247+9782</f>
        <v>20029</v>
      </c>
      <c r="J25" s="2">
        <f>18993+18535</f>
        <v>37528</v>
      </c>
      <c r="K25" s="2">
        <f>3153+1375</f>
        <v>4528</v>
      </c>
      <c r="L25" s="2">
        <f t="shared" si="2"/>
        <v>62085</v>
      </c>
      <c r="N25" s="2">
        <v>10786</v>
      </c>
      <c r="O25" s="3">
        <v>21008</v>
      </c>
      <c r="Q25" s="3">
        <f t="shared" si="3"/>
        <v>31794</v>
      </c>
      <c r="S25" s="3">
        <f t="shared" si="4"/>
        <v>30815</v>
      </c>
      <c r="T25" s="3">
        <f t="shared" si="5"/>
        <v>58536</v>
      </c>
      <c r="U25" s="3">
        <f t="shared" si="6"/>
        <v>4528</v>
      </c>
      <c r="V25" s="3">
        <f t="shared" si="7"/>
        <v>93879</v>
      </c>
      <c r="X25" s="4">
        <f t="shared" si="8"/>
        <v>0.32824167279157213</v>
      </c>
      <c r="Y25" s="4">
        <f t="shared" si="9"/>
        <v>0.62352602818521718</v>
      </c>
      <c r="Z25" s="4">
        <f t="shared" si="10"/>
        <v>4.8232299023210731E-2</v>
      </c>
      <c r="AA25" t="str">
        <f t="shared" si="11"/>
        <v>Yes</v>
      </c>
    </row>
    <row r="26" spans="1:27" x14ac:dyDescent="0.25">
      <c r="A26">
        <v>25</v>
      </c>
      <c r="C26" t="s">
        <v>5</v>
      </c>
      <c r="D26" t="s">
        <v>5</v>
      </c>
      <c r="E26" t="s">
        <v>5</v>
      </c>
      <c r="F26" t="str">
        <f t="shared" si="0"/>
        <v>Homogeneous</v>
      </c>
      <c r="G26" t="str">
        <f t="shared" si="1"/>
        <v>Homogeneous</v>
      </c>
      <c r="I26" s="2">
        <f>12519+12387</f>
        <v>24906</v>
      </c>
      <c r="J26" s="2">
        <f>18430+18167</f>
        <v>36597</v>
      </c>
      <c r="L26" s="2">
        <f t="shared" si="2"/>
        <v>61503</v>
      </c>
      <c r="N26" s="2">
        <v>12254</v>
      </c>
      <c r="O26" s="3">
        <v>19171</v>
      </c>
      <c r="Q26" s="3">
        <f t="shared" si="3"/>
        <v>31425</v>
      </c>
      <c r="S26" s="3">
        <f t="shared" si="4"/>
        <v>37160</v>
      </c>
      <c r="T26" s="3">
        <f t="shared" si="5"/>
        <v>55768</v>
      </c>
      <c r="U26" s="3">
        <f t="shared" si="6"/>
        <v>0</v>
      </c>
      <c r="V26" s="3">
        <f t="shared" si="7"/>
        <v>92928</v>
      </c>
      <c r="X26" s="4">
        <f t="shared" si="8"/>
        <v>0.39987947658402206</v>
      </c>
      <c r="Y26" s="4">
        <f t="shared" si="9"/>
        <v>0.60012052341597799</v>
      </c>
      <c r="Z26" s="4">
        <f t="shared" si="10"/>
        <v>0</v>
      </c>
      <c r="AA26" t="str">
        <f t="shared" si="11"/>
        <v>Yes</v>
      </c>
    </row>
    <row r="27" spans="1:27" x14ac:dyDescent="0.25">
      <c r="A27">
        <v>26</v>
      </c>
      <c r="C27" t="s">
        <v>5</v>
      </c>
      <c r="D27" t="s">
        <v>5</v>
      </c>
      <c r="E27" t="s">
        <v>5</v>
      </c>
      <c r="F27" t="str">
        <f t="shared" si="0"/>
        <v>Homogeneous</v>
      </c>
      <c r="G27" t="str">
        <f t="shared" si="1"/>
        <v>Homogeneous</v>
      </c>
      <c r="I27" s="2">
        <f>10824+10296</f>
        <v>21120</v>
      </c>
      <c r="J27" s="2">
        <f>19625+19483</f>
        <v>39108</v>
      </c>
      <c r="K27" s="2">
        <v>1090</v>
      </c>
      <c r="L27" s="2">
        <f t="shared" si="2"/>
        <v>61318</v>
      </c>
      <c r="N27" s="2">
        <v>10296</v>
      </c>
      <c r="O27" s="3">
        <v>20162</v>
      </c>
      <c r="P27" s="3">
        <v>910</v>
      </c>
      <c r="Q27" s="3">
        <f t="shared" si="3"/>
        <v>31368</v>
      </c>
      <c r="S27" s="3">
        <f t="shared" si="4"/>
        <v>31416</v>
      </c>
      <c r="T27" s="3">
        <f t="shared" si="5"/>
        <v>59270</v>
      </c>
      <c r="U27" s="3">
        <f t="shared" si="6"/>
        <v>2000</v>
      </c>
      <c r="V27" s="3">
        <f t="shared" si="7"/>
        <v>92686</v>
      </c>
      <c r="X27" s="4">
        <f t="shared" si="8"/>
        <v>0.33895086636600996</v>
      </c>
      <c r="Y27" s="4">
        <f t="shared" si="9"/>
        <v>0.63947090175431021</v>
      </c>
      <c r="Z27" s="4">
        <f t="shared" si="10"/>
        <v>2.157823187967978E-2</v>
      </c>
      <c r="AA27" t="str">
        <f t="shared" si="11"/>
        <v>Yes</v>
      </c>
    </row>
    <row r="28" spans="1:27" x14ac:dyDescent="0.25">
      <c r="A28">
        <v>27</v>
      </c>
      <c r="C28" t="s">
        <v>4</v>
      </c>
      <c r="D28" t="s">
        <v>4</v>
      </c>
      <c r="E28" t="s">
        <v>4</v>
      </c>
      <c r="F28" t="str">
        <f t="shared" si="0"/>
        <v>Homogeneous</v>
      </c>
      <c r="G28" t="str">
        <f t="shared" si="1"/>
        <v>Homogeneous</v>
      </c>
      <c r="I28" s="2">
        <f>23406+22664</f>
        <v>46070</v>
      </c>
      <c r="J28" s="2">
        <f>18800+18742</f>
        <v>37542</v>
      </c>
      <c r="L28" s="2">
        <f t="shared" si="2"/>
        <v>83612</v>
      </c>
      <c r="N28" s="2">
        <v>26983</v>
      </c>
      <c r="O28" s="3">
        <v>16684</v>
      </c>
      <c r="Q28" s="3">
        <f t="shared" si="3"/>
        <v>43667</v>
      </c>
      <c r="S28" s="3">
        <f t="shared" si="4"/>
        <v>73053</v>
      </c>
      <c r="T28" s="3">
        <f t="shared" si="5"/>
        <v>54226</v>
      </c>
      <c r="U28" s="3">
        <f t="shared" si="6"/>
        <v>0</v>
      </c>
      <c r="V28" s="3">
        <f t="shared" si="7"/>
        <v>127279</v>
      </c>
      <c r="X28" s="4">
        <f t="shared" si="8"/>
        <v>0.57395956913552115</v>
      </c>
      <c r="Y28" s="4">
        <f t="shared" si="9"/>
        <v>0.42604043086447885</v>
      </c>
      <c r="Z28" s="4">
        <f t="shared" si="10"/>
        <v>0</v>
      </c>
      <c r="AA28" t="str">
        <f t="shared" si="11"/>
        <v>Yes</v>
      </c>
    </row>
    <row r="29" spans="1:27" x14ac:dyDescent="0.25">
      <c r="A29">
        <v>28</v>
      </c>
      <c r="C29" t="s">
        <v>4</v>
      </c>
      <c r="D29" t="s">
        <v>4</v>
      </c>
      <c r="E29" t="s">
        <v>4</v>
      </c>
      <c r="F29" t="str">
        <f t="shared" si="0"/>
        <v>Homogeneous</v>
      </c>
      <c r="G29" t="str">
        <f t="shared" si="1"/>
        <v>Homogeneous</v>
      </c>
      <c r="I29" s="2">
        <f>13609+13593</f>
        <v>27202</v>
      </c>
      <c r="J29" s="2">
        <f>4533+4193</f>
        <v>8726</v>
      </c>
      <c r="L29" s="2">
        <f t="shared" si="2"/>
        <v>35928</v>
      </c>
      <c r="N29" s="2">
        <v>14367</v>
      </c>
      <c r="O29" s="3">
        <v>4443</v>
      </c>
      <c r="Q29" s="3">
        <f t="shared" si="3"/>
        <v>18810</v>
      </c>
      <c r="S29" s="3">
        <f t="shared" si="4"/>
        <v>41569</v>
      </c>
      <c r="T29" s="3">
        <f t="shared" si="5"/>
        <v>13169</v>
      </c>
      <c r="U29" s="3">
        <f t="shared" si="6"/>
        <v>0</v>
      </c>
      <c r="V29" s="3">
        <f t="shared" si="7"/>
        <v>54738</v>
      </c>
      <c r="X29" s="4">
        <f t="shared" si="8"/>
        <v>0.75941758924330449</v>
      </c>
      <c r="Y29" s="4">
        <f t="shared" si="9"/>
        <v>0.24058241075669554</v>
      </c>
      <c r="Z29" s="4">
        <f t="shared" si="10"/>
        <v>0</v>
      </c>
      <c r="AA29" t="str">
        <f t="shared" si="11"/>
        <v>No</v>
      </c>
    </row>
    <row r="30" spans="1:27" x14ac:dyDescent="0.25">
      <c r="A30">
        <v>29</v>
      </c>
      <c r="C30" t="s">
        <v>4</v>
      </c>
      <c r="D30" t="s">
        <v>4</v>
      </c>
      <c r="E30" t="s">
        <v>4</v>
      </c>
      <c r="F30" t="str">
        <f t="shared" si="0"/>
        <v>Homogeneous</v>
      </c>
      <c r="G30" t="str">
        <f t="shared" si="1"/>
        <v>Homogeneous</v>
      </c>
      <c r="I30" s="2">
        <f>8482+8323</f>
        <v>16805</v>
      </c>
      <c r="J30" s="2">
        <f>1722+1675</f>
        <v>3397</v>
      </c>
      <c r="L30" s="2">
        <f t="shared" si="2"/>
        <v>20202</v>
      </c>
      <c r="N30" s="2">
        <v>8978</v>
      </c>
      <c r="O30" s="3">
        <v>1585</v>
      </c>
      <c r="P30" s="3">
        <v>359</v>
      </c>
      <c r="Q30" s="3">
        <f t="shared" si="3"/>
        <v>10922</v>
      </c>
      <c r="S30" s="3">
        <f t="shared" si="4"/>
        <v>25783</v>
      </c>
      <c r="T30" s="3">
        <f t="shared" si="5"/>
        <v>4982</v>
      </c>
      <c r="U30" s="3">
        <f t="shared" si="6"/>
        <v>359</v>
      </c>
      <c r="V30" s="3">
        <f t="shared" si="7"/>
        <v>31124</v>
      </c>
      <c r="X30" s="4">
        <f t="shared" si="8"/>
        <v>0.82839609304716622</v>
      </c>
      <c r="Y30" s="4">
        <f t="shared" si="9"/>
        <v>0.16006939982007454</v>
      </c>
      <c r="Z30" s="4">
        <f t="shared" si="10"/>
        <v>1.1534507132759286E-2</v>
      </c>
      <c r="AA30" t="str">
        <f t="shared" si="11"/>
        <v>No</v>
      </c>
    </row>
    <row r="31" spans="1:27" x14ac:dyDescent="0.25">
      <c r="A31">
        <v>30</v>
      </c>
      <c r="C31" t="s">
        <v>5</v>
      </c>
      <c r="D31" t="s">
        <v>5</v>
      </c>
      <c r="E31" t="s">
        <v>5</v>
      </c>
      <c r="F31" t="str">
        <f t="shared" si="0"/>
        <v>Homogeneous</v>
      </c>
      <c r="G31" t="str">
        <f t="shared" si="1"/>
        <v>Homogeneous</v>
      </c>
      <c r="I31" s="2">
        <f>11223+10607</f>
        <v>21830</v>
      </c>
      <c r="J31" s="2">
        <f>22798+20644</f>
        <v>43442</v>
      </c>
      <c r="K31" s="2">
        <v>982</v>
      </c>
      <c r="L31" s="2">
        <f t="shared" si="2"/>
        <v>66254</v>
      </c>
      <c r="N31" s="2">
        <v>11338</v>
      </c>
      <c r="O31" s="3">
        <v>21905</v>
      </c>
      <c r="Q31" s="3">
        <f t="shared" si="3"/>
        <v>33243</v>
      </c>
      <c r="S31" s="3">
        <f t="shared" si="4"/>
        <v>33168</v>
      </c>
      <c r="T31" s="3">
        <f t="shared" si="5"/>
        <v>65347</v>
      </c>
      <c r="U31" s="3">
        <f t="shared" si="6"/>
        <v>982</v>
      </c>
      <c r="V31" s="3">
        <f t="shared" si="7"/>
        <v>99497</v>
      </c>
      <c r="X31" s="4">
        <f t="shared" si="8"/>
        <v>0.33335678462667218</v>
      </c>
      <c r="Y31" s="4">
        <f t="shared" si="9"/>
        <v>0.65677357106244405</v>
      </c>
      <c r="Z31" s="4">
        <f t="shared" si="10"/>
        <v>9.8696443108837444E-3</v>
      </c>
      <c r="AA31" t="str">
        <f t="shared" si="11"/>
        <v>Yes</v>
      </c>
    </row>
    <row r="32" spans="1:27" x14ac:dyDescent="0.25">
      <c r="A32">
        <v>31</v>
      </c>
      <c r="C32" t="s">
        <v>4</v>
      </c>
      <c r="D32" t="s">
        <v>4</v>
      </c>
      <c r="E32" t="s">
        <v>4</v>
      </c>
      <c r="F32" t="str">
        <f t="shared" si="0"/>
        <v>Homogeneous</v>
      </c>
      <c r="G32" t="str">
        <f t="shared" si="1"/>
        <v>Homogeneous</v>
      </c>
      <c r="I32" s="2">
        <f>11355+11173</f>
        <v>22528</v>
      </c>
      <c r="J32" s="2">
        <f>2998+2635</f>
        <v>5633</v>
      </c>
      <c r="L32" s="2">
        <f t="shared" si="2"/>
        <v>28161</v>
      </c>
      <c r="N32" s="2">
        <v>12672</v>
      </c>
      <c r="O32" s="3">
        <v>2706</v>
      </c>
      <c r="P32" s="3">
        <v>298</v>
      </c>
      <c r="Q32" s="3">
        <f t="shared" si="3"/>
        <v>15676</v>
      </c>
      <c r="S32" s="3">
        <f t="shared" si="4"/>
        <v>35200</v>
      </c>
      <c r="T32" s="3">
        <f t="shared" si="5"/>
        <v>8339</v>
      </c>
      <c r="U32" s="3">
        <f t="shared" si="6"/>
        <v>298</v>
      </c>
      <c r="V32" s="3">
        <f t="shared" si="7"/>
        <v>43837</v>
      </c>
      <c r="X32" s="4">
        <f t="shared" si="8"/>
        <v>0.80297465611241647</v>
      </c>
      <c r="Y32" s="4">
        <f t="shared" si="9"/>
        <v>0.19022743344663184</v>
      </c>
      <c r="Z32" s="4">
        <f t="shared" si="10"/>
        <v>6.7979104409517073E-3</v>
      </c>
      <c r="AA32" t="str">
        <f t="shared" si="11"/>
        <v>No</v>
      </c>
    </row>
    <row r="33" spans="1:27" x14ac:dyDescent="0.25">
      <c r="A33">
        <v>32</v>
      </c>
      <c r="C33" t="s">
        <v>4</v>
      </c>
      <c r="D33" t="s">
        <v>4</v>
      </c>
      <c r="E33" t="s">
        <v>4</v>
      </c>
      <c r="F33" t="str">
        <f t="shared" si="0"/>
        <v>Homogeneous</v>
      </c>
      <c r="G33" t="str">
        <f t="shared" si="1"/>
        <v>Homogeneous</v>
      </c>
      <c r="I33" s="2">
        <f>15096+14660</f>
        <v>29756</v>
      </c>
      <c r="J33" s="2">
        <f>3266+3065</f>
        <v>6331</v>
      </c>
      <c r="K33" s="2">
        <v>458</v>
      </c>
      <c r="L33" s="2">
        <f t="shared" si="2"/>
        <v>36545</v>
      </c>
      <c r="N33" s="2">
        <v>15702</v>
      </c>
      <c r="O33" s="3">
        <v>3142</v>
      </c>
      <c r="P33" s="3">
        <v>560</v>
      </c>
      <c r="Q33" s="3">
        <f t="shared" si="3"/>
        <v>19404</v>
      </c>
      <c r="S33" s="3">
        <f t="shared" si="4"/>
        <v>45458</v>
      </c>
      <c r="T33" s="3">
        <f t="shared" si="5"/>
        <v>9473</v>
      </c>
      <c r="U33" s="3">
        <f t="shared" si="6"/>
        <v>1018</v>
      </c>
      <c r="V33" s="3">
        <f t="shared" si="7"/>
        <v>55949</v>
      </c>
      <c r="X33" s="4">
        <f t="shared" si="8"/>
        <v>0.81248994620100445</v>
      </c>
      <c r="Y33" s="4">
        <f t="shared" si="9"/>
        <v>0.16931491179467015</v>
      </c>
      <c r="Z33" s="4">
        <f t="shared" si="10"/>
        <v>1.8195142004325367E-2</v>
      </c>
      <c r="AA33" t="str">
        <f t="shared" si="11"/>
        <v>No</v>
      </c>
    </row>
    <row r="34" spans="1:27" x14ac:dyDescent="0.25">
      <c r="A34">
        <v>33</v>
      </c>
      <c r="C34" t="s">
        <v>4</v>
      </c>
      <c r="D34" t="s">
        <v>4</v>
      </c>
      <c r="E34" t="s">
        <v>4</v>
      </c>
      <c r="F34" t="str">
        <f t="shared" si="0"/>
        <v>Homogeneous</v>
      </c>
      <c r="G34" t="str">
        <f t="shared" si="1"/>
        <v>Homogeneous</v>
      </c>
      <c r="I34" s="2">
        <f>15706+15372</f>
        <v>31078</v>
      </c>
      <c r="J34" s="2">
        <f>2896+2804</f>
        <v>5700</v>
      </c>
      <c r="L34" s="2">
        <f t="shared" si="2"/>
        <v>36778</v>
      </c>
      <c r="N34" s="2">
        <v>18244</v>
      </c>
      <c r="O34" s="3">
        <v>2815</v>
      </c>
      <c r="Q34" s="3">
        <f t="shared" si="3"/>
        <v>21059</v>
      </c>
      <c r="S34" s="3">
        <f t="shared" si="4"/>
        <v>49322</v>
      </c>
      <c r="T34" s="3">
        <f t="shared" si="5"/>
        <v>8515</v>
      </c>
      <c r="U34" s="3">
        <f t="shared" si="6"/>
        <v>0</v>
      </c>
      <c r="V34" s="3">
        <f t="shared" si="7"/>
        <v>57837</v>
      </c>
      <c r="X34" s="4">
        <f t="shared" si="8"/>
        <v>0.85277590469768483</v>
      </c>
      <c r="Y34" s="4">
        <f t="shared" si="9"/>
        <v>0.14722409530231512</v>
      </c>
      <c r="Z34" s="4">
        <f t="shared" si="10"/>
        <v>0</v>
      </c>
      <c r="AA34" t="str">
        <f t="shared" si="11"/>
        <v>No</v>
      </c>
    </row>
    <row r="35" spans="1:27" x14ac:dyDescent="0.25">
      <c r="A35">
        <v>34</v>
      </c>
      <c r="C35" t="s">
        <v>4</v>
      </c>
      <c r="D35" t="s">
        <v>4</v>
      </c>
      <c r="E35" t="s">
        <v>4</v>
      </c>
      <c r="F35" t="str">
        <f t="shared" si="0"/>
        <v>Homogeneous</v>
      </c>
      <c r="G35" t="str">
        <f t="shared" si="1"/>
        <v>Homogeneous</v>
      </c>
      <c r="I35" s="2">
        <f>16194+15359</f>
        <v>31553</v>
      </c>
      <c r="J35" s="2">
        <f>4239+4220</f>
        <v>8459</v>
      </c>
      <c r="K35" s="2">
        <f>803+576</f>
        <v>1379</v>
      </c>
      <c r="L35" s="2">
        <f t="shared" si="2"/>
        <v>41391</v>
      </c>
      <c r="N35" s="2">
        <v>17005</v>
      </c>
      <c r="O35" s="3">
        <v>4348</v>
      </c>
      <c r="Q35" s="3">
        <f t="shared" si="3"/>
        <v>21353</v>
      </c>
      <c r="S35" s="3">
        <f t="shared" si="4"/>
        <v>48558</v>
      </c>
      <c r="T35" s="3">
        <f t="shared" si="5"/>
        <v>12807</v>
      </c>
      <c r="U35" s="3">
        <f t="shared" si="6"/>
        <v>1379</v>
      </c>
      <c r="V35" s="3">
        <f t="shared" si="7"/>
        <v>62744</v>
      </c>
      <c r="X35" s="4">
        <f t="shared" si="8"/>
        <v>0.77390666836669642</v>
      </c>
      <c r="Y35" s="4">
        <f t="shared" si="9"/>
        <v>0.204115134514854</v>
      </c>
      <c r="Z35" s="4">
        <f t="shared" si="10"/>
        <v>2.1978197118449574E-2</v>
      </c>
      <c r="AA35" t="str">
        <f t="shared" si="11"/>
        <v>No</v>
      </c>
    </row>
    <row r="36" spans="1:27" x14ac:dyDescent="0.25">
      <c r="A36">
        <v>35</v>
      </c>
      <c r="C36" t="s">
        <v>4</v>
      </c>
      <c r="D36" t="s">
        <v>4</v>
      </c>
      <c r="E36" t="s">
        <v>4</v>
      </c>
      <c r="F36" t="str">
        <f t="shared" si="0"/>
        <v>Homogeneous</v>
      </c>
      <c r="G36" t="str">
        <f t="shared" si="1"/>
        <v>Homogeneous</v>
      </c>
      <c r="I36" s="2">
        <f>13213+12808</f>
        <v>26021</v>
      </c>
      <c r="J36" s="2">
        <f>4909+4810</f>
        <v>9719</v>
      </c>
      <c r="L36" s="2">
        <f t="shared" si="2"/>
        <v>35740</v>
      </c>
      <c r="N36" s="2">
        <v>14005</v>
      </c>
      <c r="O36" s="3">
        <v>4675</v>
      </c>
      <c r="Q36" s="3">
        <f t="shared" si="3"/>
        <v>18680</v>
      </c>
      <c r="S36" s="3">
        <f t="shared" si="4"/>
        <v>40026</v>
      </c>
      <c r="T36" s="3">
        <f t="shared" si="5"/>
        <v>14394</v>
      </c>
      <c r="U36" s="3">
        <f t="shared" si="6"/>
        <v>0</v>
      </c>
      <c r="V36" s="3">
        <f t="shared" si="7"/>
        <v>54420</v>
      </c>
      <c r="X36" s="4">
        <f t="shared" si="8"/>
        <v>0.73550165380374866</v>
      </c>
      <c r="Y36" s="4">
        <f t="shared" si="9"/>
        <v>0.2644983461962514</v>
      </c>
      <c r="Z36" s="4">
        <f t="shared" si="10"/>
        <v>0</v>
      </c>
      <c r="AA36" t="str">
        <f t="shared" si="11"/>
        <v>Yes</v>
      </c>
    </row>
    <row r="37" spans="1:27" x14ac:dyDescent="0.25">
      <c r="A37">
        <v>36</v>
      </c>
      <c r="C37" t="s">
        <v>4</v>
      </c>
      <c r="D37" t="s">
        <v>4</v>
      </c>
      <c r="E37" t="s">
        <v>4</v>
      </c>
      <c r="F37" t="str">
        <f t="shared" si="0"/>
        <v>Homogeneous</v>
      </c>
      <c r="G37" t="str">
        <f t="shared" si="1"/>
        <v>Homogeneous</v>
      </c>
      <c r="I37" s="2">
        <f>16419+15515</f>
        <v>31934</v>
      </c>
      <c r="J37" s="2">
        <f>11040+10555</f>
        <v>21595</v>
      </c>
      <c r="L37" s="2">
        <f t="shared" si="2"/>
        <v>53529</v>
      </c>
      <c r="N37" s="2">
        <v>17666</v>
      </c>
      <c r="O37" s="3">
        <v>10380</v>
      </c>
      <c r="Q37" s="3">
        <f t="shared" si="3"/>
        <v>28046</v>
      </c>
      <c r="S37" s="3">
        <f t="shared" si="4"/>
        <v>49600</v>
      </c>
      <c r="T37" s="3">
        <f t="shared" si="5"/>
        <v>31975</v>
      </c>
      <c r="U37" s="3">
        <f t="shared" si="6"/>
        <v>0</v>
      </c>
      <c r="V37" s="3">
        <f t="shared" si="7"/>
        <v>81575</v>
      </c>
      <c r="X37" s="4">
        <f t="shared" si="8"/>
        <v>0.60802942077842481</v>
      </c>
      <c r="Y37" s="4">
        <f t="shared" si="9"/>
        <v>0.39197057922157524</v>
      </c>
      <c r="Z37" s="4">
        <f t="shared" si="10"/>
        <v>0</v>
      </c>
      <c r="AA37" t="str">
        <f t="shared" si="11"/>
        <v>Yes</v>
      </c>
    </row>
    <row r="38" spans="1:27" x14ac:dyDescent="0.25">
      <c r="A38">
        <v>37</v>
      </c>
      <c r="C38" t="s">
        <v>4</v>
      </c>
      <c r="D38" t="s">
        <v>4</v>
      </c>
      <c r="E38" t="s">
        <v>4</v>
      </c>
      <c r="F38" t="str">
        <f t="shared" si="0"/>
        <v>Homogeneous</v>
      </c>
      <c r="G38" t="str">
        <f t="shared" si="1"/>
        <v>Homogeneous</v>
      </c>
      <c r="I38" s="2">
        <f>20512+20290</f>
        <v>40802</v>
      </c>
      <c r="J38" s="2">
        <f>9473+9285</f>
        <v>18758</v>
      </c>
      <c r="K38" s="2">
        <v>623</v>
      </c>
      <c r="L38" s="2">
        <f t="shared" si="2"/>
        <v>60183</v>
      </c>
      <c r="N38" s="2">
        <v>21511</v>
      </c>
      <c r="O38" s="3">
        <v>9315</v>
      </c>
      <c r="Q38" s="3">
        <f t="shared" si="3"/>
        <v>30826</v>
      </c>
      <c r="S38" s="3">
        <f t="shared" si="4"/>
        <v>62313</v>
      </c>
      <c r="T38" s="3">
        <f t="shared" si="5"/>
        <v>28073</v>
      </c>
      <c r="U38" s="3">
        <f t="shared" si="6"/>
        <v>623</v>
      </c>
      <c r="V38" s="3">
        <f t="shared" si="7"/>
        <v>91009</v>
      </c>
      <c r="X38" s="4">
        <f t="shared" si="8"/>
        <v>0.68469052511290096</v>
      </c>
      <c r="Y38" s="4">
        <f t="shared" si="9"/>
        <v>0.30846399806612534</v>
      </c>
      <c r="Z38" s="4">
        <f t="shared" si="10"/>
        <v>6.8454768209737496E-3</v>
      </c>
      <c r="AA38" t="str">
        <f t="shared" si="11"/>
        <v>Yes</v>
      </c>
    </row>
    <row r="39" spans="1:27" x14ac:dyDescent="0.25">
      <c r="A39">
        <v>38</v>
      </c>
      <c r="B39" t="s">
        <v>6</v>
      </c>
      <c r="C39" t="s">
        <v>4</v>
      </c>
      <c r="D39" t="s">
        <v>4</v>
      </c>
      <c r="E39" t="s">
        <v>4</v>
      </c>
      <c r="F39" t="str">
        <f t="shared" si="0"/>
        <v>Homogeneous</v>
      </c>
      <c r="G39" t="str">
        <f t="shared" si="1"/>
        <v>Homogeneous</v>
      </c>
      <c r="I39" s="2">
        <f>21205+20155</f>
        <v>41360</v>
      </c>
      <c r="J39" s="2">
        <f>18208+17927</f>
        <v>36135</v>
      </c>
      <c r="K39" s="2">
        <v>687</v>
      </c>
      <c r="L39" s="2">
        <f t="shared" si="2"/>
        <v>78182</v>
      </c>
      <c r="N39" s="2">
        <v>21283</v>
      </c>
      <c r="O39" s="3">
        <v>18816</v>
      </c>
      <c r="Q39" s="3">
        <f t="shared" si="3"/>
        <v>40099</v>
      </c>
      <c r="S39" s="3">
        <f t="shared" si="4"/>
        <v>62643</v>
      </c>
      <c r="T39" s="3">
        <f t="shared" si="5"/>
        <v>54951</v>
      </c>
      <c r="U39" s="3">
        <f t="shared" si="6"/>
        <v>687</v>
      </c>
      <c r="V39" s="3">
        <f t="shared" si="7"/>
        <v>118281</v>
      </c>
      <c r="X39" s="4">
        <f t="shared" si="8"/>
        <v>0.52961168742232478</v>
      </c>
      <c r="Y39" s="4">
        <f t="shared" si="9"/>
        <v>0.46458011007685091</v>
      </c>
      <c r="Z39" s="4">
        <f t="shared" si="10"/>
        <v>5.8082025008243084E-3</v>
      </c>
      <c r="AA39" t="str">
        <f t="shared" si="11"/>
        <v>Yes</v>
      </c>
    </row>
    <row r="40" spans="1:27" x14ac:dyDescent="0.25">
      <c r="A40">
        <v>39</v>
      </c>
      <c r="C40" t="s">
        <v>5</v>
      </c>
      <c r="D40" t="s">
        <v>5</v>
      </c>
      <c r="E40" t="s">
        <v>5</v>
      </c>
      <c r="F40" t="str">
        <f t="shared" si="0"/>
        <v>Homogeneous</v>
      </c>
      <c r="G40" t="str">
        <f t="shared" si="1"/>
        <v>Homogeneous</v>
      </c>
      <c r="I40" s="2">
        <f>15506+15099</f>
        <v>30605</v>
      </c>
      <c r="J40" s="2">
        <f>25334+24919</f>
        <v>50253</v>
      </c>
      <c r="K40" s="2">
        <v>1367</v>
      </c>
      <c r="L40" s="2">
        <f t="shared" si="2"/>
        <v>82225</v>
      </c>
      <c r="N40" s="2">
        <v>15428</v>
      </c>
      <c r="O40" s="3">
        <v>26733</v>
      </c>
      <c r="Q40" s="3">
        <f t="shared" si="3"/>
        <v>42161</v>
      </c>
      <c r="S40" s="3">
        <f t="shared" si="4"/>
        <v>46033</v>
      </c>
      <c r="T40" s="3">
        <f t="shared" si="5"/>
        <v>76986</v>
      </c>
      <c r="U40" s="3">
        <f t="shared" si="6"/>
        <v>1367</v>
      </c>
      <c r="V40" s="3">
        <f t="shared" si="7"/>
        <v>124386</v>
      </c>
      <c r="X40" s="4">
        <f t="shared" si="8"/>
        <v>0.37008184200794303</v>
      </c>
      <c r="Y40" s="4">
        <f t="shared" si="9"/>
        <v>0.61892817519656551</v>
      </c>
      <c r="Z40" s="4">
        <f t="shared" si="10"/>
        <v>1.0989982795491455E-2</v>
      </c>
      <c r="AA40" t="str">
        <f t="shared" si="11"/>
        <v>Yes</v>
      </c>
    </row>
    <row r="41" spans="1:27" x14ac:dyDescent="0.25">
      <c r="A41">
        <v>40</v>
      </c>
      <c r="C41" t="s">
        <v>5</v>
      </c>
      <c r="D41" t="s">
        <v>5</v>
      </c>
      <c r="E41" t="s">
        <v>5</v>
      </c>
      <c r="F41" t="str">
        <f t="shared" si="0"/>
        <v>Homogeneous</v>
      </c>
      <c r="G41" t="str">
        <f t="shared" si="1"/>
        <v>Homogeneous</v>
      </c>
      <c r="I41" s="2">
        <f>15104+13456</f>
        <v>28560</v>
      </c>
      <c r="J41" s="2">
        <f>21567+21147</f>
        <v>42714</v>
      </c>
      <c r="L41" s="2">
        <f t="shared" si="2"/>
        <v>71274</v>
      </c>
      <c r="N41" s="2">
        <v>13434</v>
      </c>
      <c r="O41" s="3">
        <v>22255</v>
      </c>
      <c r="Q41" s="3">
        <f t="shared" si="3"/>
        <v>35689</v>
      </c>
      <c r="S41" s="3">
        <f t="shared" si="4"/>
        <v>41994</v>
      </c>
      <c r="T41" s="3">
        <f t="shared" si="5"/>
        <v>64969</v>
      </c>
      <c r="U41" s="3">
        <f t="shared" si="6"/>
        <v>0</v>
      </c>
      <c r="V41" s="3">
        <f t="shared" si="7"/>
        <v>106963</v>
      </c>
      <c r="X41" s="4">
        <f t="shared" si="8"/>
        <v>0.39260304965268361</v>
      </c>
      <c r="Y41" s="4">
        <f t="shared" si="9"/>
        <v>0.60739695034731633</v>
      </c>
      <c r="Z41" s="4">
        <f t="shared" si="10"/>
        <v>0</v>
      </c>
      <c r="AA41" t="str">
        <f t="shared" si="11"/>
        <v>Yes</v>
      </c>
    </row>
    <row r="42" spans="1:27" x14ac:dyDescent="0.25">
      <c r="L42" s="2">
        <f>SUM(L2:L41)</f>
        <v>2519417</v>
      </c>
      <c r="Q42" s="3">
        <f>SUM(Q2:Q41)</f>
        <v>1266903</v>
      </c>
      <c r="S42" s="3">
        <f t="shared" ref="S42:U42" si="12">SUM(S2:S41)</f>
        <v>1947799</v>
      </c>
      <c r="T42" s="3">
        <f t="shared" si="12"/>
        <v>1813221</v>
      </c>
      <c r="U42" s="3">
        <f t="shared" si="12"/>
        <v>25300</v>
      </c>
      <c r="V42" s="3">
        <f t="shared" si="7"/>
        <v>3786320</v>
      </c>
      <c r="X42" s="4">
        <f t="shared" si="8"/>
        <v>0.51443063449470727</v>
      </c>
      <c r="Y42" s="4">
        <f t="shared" si="9"/>
        <v>0.47888741574932914</v>
      </c>
      <c r="Z42" s="4">
        <f t="shared" si="10"/>
        <v>6.6819497559635743E-3</v>
      </c>
      <c r="AA42" t="str">
        <f t="shared" si="11"/>
        <v>Yes</v>
      </c>
    </row>
    <row r="43" spans="1:27" x14ac:dyDescent="0.25">
      <c r="B43" t="s">
        <v>5</v>
      </c>
      <c r="C43">
        <f>COUNTIF(C2:C41,"GOP")</f>
        <v>16</v>
      </c>
      <c r="D43">
        <f t="shared" ref="D43:E43" si="13">COUNTIF(D2:D41,"GOP")</f>
        <v>16</v>
      </c>
      <c r="E43">
        <f t="shared" si="13"/>
        <v>16</v>
      </c>
      <c r="F43">
        <f>SUM(C43:E43)</f>
        <v>48</v>
      </c>
      <c r="G43">
        <f>F43/F45</f>
        <v>0.4</v>
      </c>
      <c r="AA43">
        <f>COUNTIF(AA2:AA42,"Yes")</f>
        <v>34</v>
      </c>
    </row>
    <row r="44" spans="1:27" x14ac:dyDescent="0.25">
      <c r="B44" t="s">
        <v>4</v>
      </c>
      <c r="C44">
        <f>COUNTIF(C2:C41,"Dem")</f>
        <v>24</v>
      </c>
      <c r="D44">
        <f t="shared" ref="D44:E44" si="14">COUNTIF(D2:D41,"Dem")</f>
        <v>24</v>
      </c>
      <c r="E44">
        <f t="shared" si="14"/>
        <v>24</v>
      </c>
      <c r="F44">
        <f>SUM(C44:E44)</f>
        <v>72</v>
      </c>
      <c r="G44">
        <f>F44/F45</f>
        <v>0.6</v>
      </c>
    </row>
    <row r="45" spans="1:27" x14ac:dyDescent="0.25">
      <c r="F45">
        <f>SUM(F43:F44)</f>
        <v>120</v>
      </c>
    </row>
    <row r="47" spans="1:27" x14ac:dyDescent="0.25">
      <c r="E47" t="s">
        <v>8</v>
      </c>
      <c r="F47">
        <f>COUNTIF(F2:F41,"Homogeneous")</f>
        <v>40</v>
      </c>
      <c r="G47">
        <f>COUNTIF(G2:G41,"Homogeneous")</f>
        <v>38</v>
      </c>
    </row>
    <row r="48" spans="1:27" x14ac:dyDescent="0.25">
      <c r="E48" t="s">
        <v>9</v>
      </c>
      <c r="F48">
        <f>COUNTIF(F2:F41,"Different!")</f>
        <v>0</v>
      </c>
      <c r="G48">
        <f>COUNTIF(G2:G41,"Different!")</f>
        <v>2</v>
      </c>
    </row>
    <row r="49" spans="5:7" x14ac:dyDescent="0.25">
      <c r="E49" t="s">
        <v>12</v>
      </c>
      <c r="F49" s="1">
        <f>F47/SUM(F47:F48)</f>
        <v>1</v>
      </c>
      <c r="G49" s="1">
        <f>G47/SUM(G47:G48)</f>
        <v>0.95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</vt:lpstr>
      <vt:lpstr>2011</vt:lpstr>
      <vt:lpstr>Sheet3</vt:lpstr>
    </vt:vector>
  </TitlesOfParts>
  <Company>FairVote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lneedham</dc:creator>
  <cp:lastModifiedBy>Devin</cp:lastModifiedBy>
  <dcterms:created xsi:type="dcterms:W3CDTF">2011-11-09T19:44:50Z</dcterms:created>
  <dcterms:modified xsi:type="dcterms:W3CDTF">2014-01-21T20:42:42Z</dcterms:modified>
</cp:coreProperties>
</file>